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5C570D81-198D-496E-886D-322CA1181098}" xr6:coauthVersionLast="45" xr6:coauthVersionMax="45" xr10:uidLastSave="{00000000-0000-0000-0000-000000000000}"/>
  <bookViews>
    <workbookView xWindow="-28920" yWindow="-120" windowWidth="29040" windowHeight="16440" xr2:uid="{00000000-000D-0000-FFFF-FFFF00000000}"/>
  </bookViews>
  <sheets>
    <sheet name="Electric Deferral" sheetId="6" r:id="rId1"/>
    <sheet name="Acerno_Cache_XXXXX" sheetId="10" state="veryHidden" r:id="rId2"/>
    <sheet name="Natural Gas Deferral" sheetId="8" r:id="rId3"/>
    <sheet name="Natural Gas by Schedule" sheetId="9" state="hidden" r:id="rId4"/>
    <sheet name="Accounting Balances" sheetId="3" r:id="rId5"/>
    <sheet name="Notes" sheetId="4" r:id="rId6"/>
  </sheets>
  <definedNames>
    <definedName name="_xlnm.Print_Area" localSheetId="4">'Accounting Balances'!$A$1:$G$199</definedName>
    <definedName name="_xlnm.Print_Area" localSheetId="0">'Electric Deferral'!$A$1:$AC$99</definedName>
    <definedName name="_xlnm.Print_Area" localSheetId="2">'Natural Gas Deferral'!$A$1:$AC$101</definedName>
    <definedName name="_xlnm.Print_Area" localSheetId="5">Notes!$A$1:$K$44</definedName>
    <definedName name="_xlnm.Print_Titles" localSheetId="0">'Electric Deferral'!$1:$7</definedName>
    <definedName name="_xlnm.Print_Titles" localSheetId="3">'Natural Gas by Schedule'!$1:$8</definedName>
    <definedName name="_xlnm.Print_Titles" localSheetId="2">'Natural Gas Deferral'!$1:$7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7" i="8" l="1"/>
  <c r="AC96" i="8" l="1"/>
  <c r="AC95" i="8"/>
  <c r="AC93" i="8"/>
  <c r="AC92" i="8"/>
  <c r="AC90" i="8"/>
  <c r="AC89" i="8"/>
  <c r="AB89" i="8"/>
  <c r="AC88" i="8"/>
  <c r="AC87" i="8"/>
  <c r="AC82" i="8"/>
  <c r="AC83" i="8"/>
  <c r="AC68" i="8" s="1"/>
  <c r="AC81" i="8"/>
  <c r="AC66" i="8" s="1"/>
  <c r="AC79" i="8"/>
  <c r="AC77" i="8"/>
  <c r="AC73" i="8"/>
  <c r="AC72" i="8"/>
  <c r="AC71" i="8"/>
  <c r="AC67" i="8"/>
  <c r="AC64" i="8"/>
  <c r="AC62" i="8"/>
  <c r="AC57" i="8"/>
  <c r="AC58" i="8"/>
  <c r="AC59" i="8"/>
  <c r="AC56" i="8"/>
  <c r="AC50" i="8"/>
  <c r="AC49" i="8"/>
  <c r="AC47" i="8"/>
  <c r="AC46" i="8"/>
  <c r="AC44" i="8"/>
  <c r="AC42" i="8"/>
  <c r="AC41" i="8"/>
  <c r="AC36" i="8"/>
  <c r="AC37" i="8"/>
  <c r="AC35" i="8"/>
  <c r="AC33" i="8"/>
  <c r="AC31" i="8"/>
  <c r="AC27" i="8"/>
  <c r="AC25" i="8"/>
  <c r="AC18" i="8"/>
  <c r="AC16" i="8"/>
  <c r="AC11" i="8"/>
  <c r="AC12" i="8"/>
  <c r="AC13" i="8"/>
  <c r="AC10" i="8"/>
  <c r="AC94" i="6"/>
  <c r="AC93" i="6"/>
  <c r="AC91" i="6"/>
  <c r="AC90" i="6"/>
  <c r="AC88" i="6"/>
  <c r="AC86" i="6"/>
  <c r="AC85" i="6"/>
  <c r="AC83" i="6"/>
  <c r="AC82" i="6"/>
  <c r="AC81" i="6"/>
  <c r="AC80" i="6"/>
  <c r="AC79" i="6"/>
  <c r="AC77" i="6"/>
  <c r="AC75" i="6"/>
  <c r="AC72" i="6"/>
  <c r="AC70" i="6"/>
  <c r="AC69" i="6"/>
  <c r="AC63" i="6"/>
  <c r="AC62" i="6" s="1"/>
  <c r="AC61" i="6"/>
  <c r="AC56" i="6"/>
  <c r="AC57" i="6"/>
  <c r="AC58" i="6"/>
  <c r="AC55" i="6"/>
  <c r="AC49" i="6"/>
  <c r="AC48" i="6"/>
  <c r="AC46" i="6"/>
  <c r="AC45" i="6"/>
  <c r="AC43" i="6"/>
  <c r="AC41" i="6"/>
  <c r="AC40" i="6"/>
  <c r="AC38" i="6"/>
  <c r="AC36" i="6"/>
  <c r="AC35" i="6"/>
  <c r="AC21" i="6" s="1"/>
  <c r="AC34" i="6"/>
  <c r="AC20" i="6" s="1"/>
  <c r="AC32" i="6"/>
  <c r="AC30" i="6"/>
  <c r="AC27" i="6"/>
  <c r="AC25" i="6"/>
  <c r="AC22" i="6"/>
  <c r="AC23" i="6" s="1"/>
  <c r="AC24" i="6"/>
  <c r="AB23" i="6"/>
  <c r="AC18" i="6"/>
  <c r="AC16" i="6"/>
  <c r="AC11" i="6"/>
  <c r="AC12" i="6"/>
  <c r="AC13" i="6"/>
  <c r="AC10" i="6"/>
  <c r="U79" i="8"/>
  <c r="S48" i="8"/>
  <c r="T48" i="8" s="1"/>
  <c r="U48" i="8" s="1"/>
  <c r="U33" i="8"/>
  <c r="U77" i="6" l="1"/>
  <c r="S47" i="6"/>
  <c r="T47" i="6" s="1"/>
  <c r="U47" i="6" s="1"/>
  <c r="U32" i="6"/>
  <c r="F197" i="3"/>
  <c r="F198" i="3" s="1"/>
  <c r="F192" i="3"/>
  <c r="F193" i="3" s="1"/>
  <c r="F187" i="3"/>
  <c r="F183" i="3"/>
  <c r="F188" i="3" s="1"/>
  <c r="F178" i="3"/>
  <c r="F174" i="3"/>
  <c r="F163" i="3"/>
  <c r="F159" i="3"/>
  <c r="F164" i="3" s="1"/>
  <c r="F154" i="3"/>
  <c r="F150" i="3"/>
  <c r="F155" i="3" s="1"/>
  <c r="F142" i="3"/>
  <c r="F138" i="3"/>
  <c r="F134" i="3"/>
  <c r="F130" i="3"/>
  <c r="F122" i="3"/>
  <c r="F118" i="3"/>
  <c r="F114" i="3"/>
  <c r="F110" i="3"/>
  <c r="F99" i="3"/>
  <c r="F95" i="3"/>
  <c r="F86" i="3"/>
  <c r="F82" i="3"/>
  <c r="F77" i="3"/>
  <c r="F73" i="3"/>
  <c r="F78" i="3" s="1"/>
  <c r="F66" i="3"/>
  <c r="F62" i="3"/>
  <c r="F57" i="3"/>
  <c r="F53" i="3"/>
  <c r="F44" i="3"/>
  <c r="F40" i="3"/>
  <c r="F45" i="3" s="1"/>
  <c r="F35" i="3"/>
  <c r="F31" i="3"/>
  <c r="F36" i="3" s="1"/>
  <c r="F22" i="3"/>
  <c r="F18" i="3"/>
  <c r="F13" i="3"/>
  <c r="F9" i="3"/>
  <c r="F58" i="3" l="1"/>
  <c r="F87" i="3"/>
  <c r="F23" i="3"/>
  <c r="F67" i="3"/>
  <c r="F14" i="3"/>
  <c r="F179" i="3"/>
  <c r="F100" i="3"/>
  <c r="AC17" i="8"/>
  <c r="AC22" i="8"/>
  <c r="AC23" i="8" s="1"/>
  <c r="AC78" i="8"/>
  <c r="AC84" i="8"/>
  <c r="AC63" i="8"/>
  <c r="AC43" i="8"/>
  <c r="AC40" i="8"/>
  <c r="AC38" i="8"/>
  <c r="AC32" i="8"/>
  <c r="AC21" i="8"/>
  <c r="AC20" i="8"/>
  <c r="AC26" i="8" l="1"/>
  <c r="AC69" i="8"/>
  <c r="Q49" i="6"/>
  <c r="P51" i="6"/>
  <c r="Z10" i="6"/>
  <c r="Z93" i="8" l="1"/>
  <c r="AB93" i="8"/>
  <c r="Y46" i="8"/>
  <c r="AC31" i="6" l="1"/>
  <c r="AC17" i="6"/>
  <c r="AB10" i="8"/>
  <c r="AA82" i="8"/>
  <c r="AA83" i="8"/>
  <c r="AA81" i="8"/>
  <c r="AA77" i="8"/>
  <c r="AA57" i="8"/>
  <c r="AA58" i="8"/>
  <c r="AA59" i="8"/>
  <c r="AA56" i="8"/>
  <c r="AA41" i="8"/>
  <c r="AA36" i="8"/>
  <c r="AA37" i="8"/>
  <c r="AA35" i="8"/>
  <c r="AA31" i="8"/>
  <c r="AA13" i="8"/>
  <c r="AA11" i="8"/>
  <c r="AA12" i="8"/>
  <c r="AA20" i="8" s="1"/>
  <c r="Z95" i="8"/>
  <c r="Z92" i="8"/>
  <c r="Z90" i="8"/>
  <c r="Z89" i="8"/>
  <c r="Z88" i="8"/>
  <c r="Z87" i="8"/>
  <c r="Z82" i="8"/>
  <c r="Z83" i="8"/>
  <c r="Z81" i="8"/>
  <c r="Z79" i="8"/>
  <c r="Z77" i="8"/>
  <c r="Z73" i="8"/>
  <c r="Z71" i="8"/>
  <c r="Z64" i="8"/>
  <c r="Z62" i="8"/>
  <c r="Z57" i="8"/>
  <c r="Z58" i="8"/>
  <c r="Z66" i="8" s="1"/>
  <c r="Z59" i="8"/>
  <c r="Z56" i="8"/>
  <c r="Z49" i="8"/>
  <c r="Z47" i="8"/>
  <c r="Z46" i="8"/>
  <c r="Z44" i="8"/>
  <c r="Z42" i="8"/>
  <c r="Z43" i="8" s="1"/>
  <c r="Z41" i="8"/>
  <c r="Z37" i="8"/>
  <c r="Z36" i="8"/>
  <c r="Z35" i="8"/>
  <c r="Z33" i="8"/>
  <c r="Z31" i="8"/>
  <c r="Z27" i="8"/>
  <c r="Z25" i="8"/>
  <c r="Z18" i="8"/>
  <c r="Z16" i="8"/>
  <c r="Z17" i="8" s="1"/>
  <c r="Z13" i="8"/>
  <c r="Z12" i="8"/>
  <c r="Z11" i="8"/>
  <c r="AA10" i="8"/>
  <c r="Z10" i="8"/>
  <c r="Z21" i="8"/>
  <c r="Z26" i="8"/>
  <c r="AA21" i="8"/>
  <c r="Z32" i="8"/>
  <c r="Z78" i="8"/>
  <c r="Z96" i="8"/>
  <c r="Y10" i="8"/>
  <c r="P33" i="8"/>
  <c r="Q33" i="8"/>
  <c r="R33" i="8"/>
  <c r="S33" i="8"/>
  <c r="AA33" i="8" s="1"/>
  <c r="AA32" i="8" s="1"/>
  <c r="T33" i="8"/>
  <c r="P18" i="8"/>
  <c r="P16" i="8"/>
  <c r="O16" i="8"/>
  <c r="Q16" i="8"/>
  <c r="Q18" i="8" s="1"/>
  <c r="R16" i="8"/>
  <c r="R18" i="8" s="1"/>
  <c r="S16" i="8"/>
  <c r="S18" i="8" s="1"/>
  <c r="AA18" i="8" s="1"/>
  <c r="T16" i="8"/>
  <c r="T18" i="8" s="1"/>
  <c r="U16" i="8"/>
  <c r="U18" i="8" s="1"/>
  <c r="P20" i="8"/>
  <c r="Q20" i="8"/>
  <c r="R20" i="8"/>
  <c r="R25" i="8" s="1"/>
  <c r="S20" i="8"/>
  <c r="T20" i="8"/>
  <c r="U20" i="8"/>
  <c r="P21" i="8"/>
  <c r="Q21" i="8"/>
  <c r="R21" i="8"/>
  <c r="S21" i="8"/>
  <c r="T21" i="8"/>
  <c r="U21" i="8"/>
  <c r="P22" i="8"/>
  <c r="Q22" i="8"/>
  <c r="R22" i="8"/>
  <c r="S22" i="8"/>
  <c r="T22" i="8"/>
  <c r="U22" i="8"/>
  <c r="P25" i="8"/>
  <c r="P26" i="8" s="1"/>
  <c r="P41" i="8"/>
  <c r="P42" i="8" s="1"/>
  <c r="Q41" i="8"/>
  <c r="Q42" i="8" s="1"/>
  <c r="Q43" i="8" s="1"/>
  <c r="R41" i="8"/>
  <c r="S41" i="8"/>
  <c r="T41" i="8"/>
  <c r="T42" i="8" s="1"/>
  <c r="U41" i="8"/>
  <c r="U42" i="8" s="1"/>
  <c r="R42" i="8"/>
  <c r="S42" i="8"/>
  <c r="S43" i="8" s="1"/>
  <c r="Q48" i="8"/>
  <c r="R48" i="8"/>
  <c r="S94" i="8"/>
  <c r="T94" i="8"/>
  <c r="P62" i="8"/>
  <c r="P64" i="8" s="1"/>
  <c r="Q62" i="8"/>
  <c r="Q64" i="8" s="1"/>
  <c r="R62" i="8"/>
  <c r="R64" i="8" s="1"/>
  <c r="S62" i="8"/>
  <c r="S64" i="8" s="1"/>
  <c r="AA64" i="8" s="1"/>
  <c r="T62" i="8"/>
  <c r="T64" i="8" s="1"/>
  <c r="U62" i="8"/>
  <c r="U64" i="8" s="1"/>
  <c r="P66" i="8"/>
  <c r="Q66" i="8"/>
  <c r="Q71" i="8" s="1"/>
  <c r="R66" i="8"/>
  <c r="S66" i="8"/>
  <c r="T66" i="8"/>
  <c r="T71" i="8" s="1"/>
  <c r="U66" i="8"/>
  <c r="U71" i="8" s="1"/>
  <c r="P67" i="8"/>
  <c r="Q67" i="8"/>
  <c r="R67" i="8"/>
  <c r="S67" i="8"/>
  <c r="T67" i="8"/>
  <c r="U67" i="8"/>
  <c r="P68" i="8"/>
  <c r="Q68" i="8"/>
  <c r="R68" i="8"/>
  <c r="S68" i="8"/>
  <c r="T68" i="8"/>
  <c r="U68" i="8"/>
  <c r="P79" i="8"/>
  <c r="Q79" i="8"/>
  <c r="R79" i="8"/>
  <c r="S79" i="8"/>
  <c r="AA79" i="8" s="1"/>
  <c r="AA78" i="8" s="1"/>
  <c r="T79" i="8"/>
  <c r="P87" i="8"/>
  <c r="P88" i="8" s="1"/>
  <c r="P90" i="8" s="1"/>
  <c r="Q87" i="8"/>
  <c r="Q88" i="8" s="1"/>
  <c r="Q89" i="8" s="1"/>
  <c r="R87" i="8"/>
  <c r="R88" i="8" s="1"/>
  <c r="S87" i="8"/>
  <c r="S88" i="8" s="1"/>
  <c r="AA88" i="8" s="1"/>
  <c r="T88" i="8"/>
  <c r="U87" i="8"/>
  <c r="U88" i="8" s="1"/>
  <c r="P94" i="8"/>
  <c r="Q94" i="8"/>
  <c r="R94" i="8"/>
  <c r="AA87" i="8" l="1"/>
  <c r="AA62" i="8"/>
  <c r="AA63" i="8" s="1"/>
  <c r="AA42" i="8"/>
  <c r="AA43" i="8"/>
  <c r="AA16" i="8"/>
  <c r="AA68" i="8"/>
  <c r="AA66" i="8"/>
  <c r="AA67" i="8"/>
  <c r="AA17" i="8"/>
  <c r="AA22" i="8"/>
  <c r="Z72" i="8"/>
  <c r="Z63" i="8"/>
  <c r="Z68" i="8"/>
  <c r="Z67" i="8"/>
  <c r="Z50" i="8"/>
  <c r="Z22" i="8"/>
  <c r="Z20" i="8"/>
  <c r="AA89" i="8"/>
  <c r="Q73" i="8"/>
  <c r="U73" i="8"/>
  <c r="U72" i="8"/>
  <c r="T72" i="8"/>
  <c r="S71" i="8"/>
  <c r="T73" i="8"/>
  <c r="Q72" i="8"/>
  <c r="P73" i="8"/>
  <c r="P92" i="8" s="1"/>
  <c r="R71" i="8"/>
  <c r="R72" i="8" s="1"/>
  <c r="P71" i="8"/>
  <c r="P72" i="8" s="1"/>
  <c r="S25" i="8"/>
  <c r="S44" i="8"/>
  <c r="Q25" i="8"/>
  <c r="P27" i="8"/>
  <c r="U25" i="8"/>
  <c r="U26" i="8" s="1"/>
  <c r="T25" i="8"/>
  <c r="T26" i="8" s="1"/>
  <c r="R26" i="8"/>
  <c r="R27" i="8"/>
  <c r="Q90" i="8"/>
  <c r="Q92" i="8"/>
  <c r="Q93" i="8" s="1"/>
  <c r="R44" i="8"/>
  <c r="R46" i="8" s="1"/>
  <c r="R47" i="8" s="1"/>
  <c r="T44" i="8"/>
  <c r="T43" i="8"/>
  <c r="S89" i="8"/>
  <c r="S90" i="8"/>
  <c r="R90" i="8"/>
  <c r="R89" i="8"/>
  <c r="U89" i="8"/>
  <c r="U90" i="8"/>
  <c r="U92" i="8" s="1"/>
  <c r="Q27" i="8"/>
  <c r="Q26" i="8"/>
  <c r="U43" i="8"/>
  <c r="U44" i="8"/>
  <c r="P44" i="8"/>
  <c r="P46" i="8" s="1"/>
  <c r="P43" i="8"/>
  <c r="T89" i="8"/>
  <c r="T90" i="8"/>
  <c r="P89" i="8"/>
  <c r="R43" i="8"/>
  <c r="U94" i="8"/>
  <c r="Q44" i="8"/>
  <c r="AA90" i="8" l="1"/>
  <c r="S72" i="8"/>
  <c r="AA71" i="8"/>
  <c r="AA72" i="8" s="1"/>
  <c r="AA44" i="8"/>
  <c r="S27" i="8"/>
  <c r="AA25" i="8"/>
  <c r="AA26" i="8" s="1"/>
  <c r="S73" i="8"/>
  <c r="T92" i="8"/>
  <c r="T93" i="8" s="1"/>
  <c r="R73" i="8"/>
  <c r="R92" i="8" s="1"/>
  <c r="R93" i="8" s="1"/>
  <c r="S26" i="8"/>
  <c r="U27" i="8"/>
  <c r="U46" i="8" s="1"/>
  <c r="U47" i="8" s="1"/>
  <c r="T27" i="8"/>
  <c r="T46" i="8" s="1"/>
  <c r="T47" i="8" s="1"/>
  <c r="P47" i="8"/>
  <c r="P49" i="8" s="1"/>
  <c r="P93" i="8"/>
  <c r="P95" i="8"/>
  <c r="P98" i="8" s="1"/>
  <c r="U93" i="8"/>
  <c r="Q46" i="8"/>
  <c r="S92" i="8" l="1"/>
  <c r="AA73" i="8"/>
  <c r="AA27" i="8"/>
  <c r="S46" i="8"/>
  <c r="P96" i="8"/>
  <c r="Q95" i="8"/>
  <c r="Q96" i="8" s="1"/>
  <c r="P50" i="8"/>
  <c r="Q47" i="8"/>
  <c r="P52" i="8"/>
  <c r="S93" i="8" l="1"/>
  <c r="AA93" i="8" s="1"/>
  <c r="AA92" i="8"/>
  <c r="S47" i="8"/>
  <c r="AA47" i="8" s="1"/>
  <c r="AA46" i="8"/>
  <c r="Q98" i="8"/>
  <c r="Q49" i="8"/>
  <c r="Q50" i="8" s="1"/>
  <c r="P100" i="8"/>
  <c r="Q52" i="8" l="1"/>
  <c r="R95" i="8"/>
  <c r="R96" i="8" s="1"/>
  <c r="R98" i="8" l="1"/>
  <c r="R49" i="8"/>
  <c r="R50" i="8" s="1"/>
  <c r="Q100" i="8"/>
  <c r="R52" i="8" l="1"/>
  <c r="S95" i="8"/>
  <c r="S96" i="8" l="1"/>
  <c r="S98" i="8"/>
  <c r="S49" i="8"/>
  <c r="R100" i="8"/>
  <c r="S50" i="8" l="1"/>
  <c r="S52" i="8"/>
  <c r="T95" i="8"/>
  <c r="T96" i="8" l="1"/>
  <c r="T98" i="8"/>
  <c r="T49" i="8"/>
  <c r="S100" i="8"/>
  <c r="T50" i="8" l="1"/>
  <c r="T52" i="8"/>
  <c r="U95" i="8"/>
  <c r="U96" i="8" l="1"/>
  <c r="AA95" i="8"/>
  <c r="AA96" i="8" s="1"/>
  <c r="U98" i="8"/>
  <c r="T100" i="8"/>
  <c r="U49" i="8"/>
  <c r="U50" i="8" l="1"/>
  <c r="AA49" i="8"/>
  <c r="AA50" i="8" s="1"/>
  <c r="U52" i="8"/>
  <c r="U100" i="8" s="1"/>
  <c r="T65" i="6" l="1"/>
  <c r="AB10" i="6"/>
  <c r="AA80" i="6"/>
  <c r="AA81" i="6"/>
  <c r="AA79" i="6"/>
  <c r="AA75" i="6"/>
  <c r="AA56" i="6"/>
  <c r="AA57" i="6"/>
  <c r="AA58" i="6"/>
  <c r="AA55" i="6"/>
  <c r="AA36" i="6"/>
  <c r="AA35" i="6"/>
  <c r="AA34" i="6"/>
  <c r="AA30" i="6"/>
  <c r="AA13" i="6"/>
  <c r="AA11" i="6"/>
  <c r="AA12" i="6"/>
  <c r="AA10" i="6"/>
  <c r="Z75" i="6"/>
  <c r="Z80" i="6"/>
  <c r="Z81" i="6"/>
  <c r="Z79" i="6"/>
  <c r="Z58" i="6"/>
  <c r="Z56" i="6"/>
  <c r="Z57" i="6"/>
  <c r="Z55" i="6"/>
  <c r="Z36" i="6"/>
  <c r="Z35" i="6"/>
  <c r="Z34" i="6"/>
  <c r="Z30" i="6"/>
  <c r="Z22" i="6"/>
  <c r="Z13" i="6"/>
  <c r="Z12" i="6"/>
  <c r="Z11" i="6"/>
  <c r="Y10" i="6"/>
  <c r="P16" i="6"/>
  <c r="P18" i="6" s="1"/>
  <c r="Q16" i="6"/>
  <c r="Q18" i="6" s="1"/>
  <c r="R16" i="6"/>
  <c r="R18" i="6" s="1"/>
  <c r="S16" i="6"/>
  <c r="S18" i="6" s="1"/>
  <c r="T16" i="6"/>
  <c r="T18" i="6" s="1"/>
  <c r="U16" i="6"/>
  <c r="U18" i="6" s="1"/>
  <c r="P20" i="6"/>
  <c r="Q20" i="6"/>
  <c r="R20" i="6"/>
  <c r="S20" i="6"/>
  <c r="T20" i="6"/>
  <c r="U20" i="6"/>
  <c r="P21" i="6"/>
  <c r="Q21" i="6"/>
  <c r="R21" i="6"/>
  <c r="S21" i="6"/>
  <c r="T21" i="6"/>
  <c r="U21" i="6"/>
  <c r="P22" i="6"/>
  <c r="P24" i="6" s="1"/>
  <c r="Q22" i="6"/>
  <c r="Q24" i="6" s="1"/>
  <c r="R22" i="6"/>
  <c r="R24" i="6" s="1"/>
  <c r="S22" i="6"/>
  <c r="S24" i="6" s="1"/>
  <c r="T22" i="6"/>
  <c r="T24" i="6" s="1"/>
  <c r="U22" i="6"/>
  <c r="U24" i="6" s="1"/>
  <c r="P32" i="6"/>
  <c r="Q32" i="6"/>
  <c r="R32" i="6"/>
  <c r="S32" i="6"/>
  <c r="T32" i="6"/>
  <c r="P38" i="6"/>
  <c r="Q38" i="6"/>
  <c r="R38" i="6"/>
  <c r="S38" i="6"/>
  <c r="T38" i="6"/>
  <c r="U38" i="6"/>
  <c r="P40" i="6"/>
  <c r="Q40" i="6"/>
  <c r="R40" i="6"/>
  <c r="S40" i="6"/>
  <c r="T40" i="6"/>
  <c r="U40" i="6"/>
  <c r="Q47" i="6"/>
  <c r="Q92" i="6" s="1"/>
  <c r="P61" i="6"/>
  <c r="P63" i="6" s="1"/>
  <c r="Q61" i="6"/>
  <c r="Q63" i="6" s="1"/>
  <c r="R61" i="6"/>
  <c r="R63" i="6" s="1"/>
  <c r="S61" i="6"/>
  <c r="T61" i="6"/>
  <c r="T63" i="6" s="1"/>
  <c r="U61" i="6"/>
  <c r="U63" i="6" s="1"/>
  <c r="P65" i="6"/>
  <c r="Q65" i="6"/>
  <c r="R65" i="6"/>
  <c r="S65" i="6"/>
  <c r="U65" i="6"/>
  <c r="P66" i="6"/>
  <c r="Q66" i="6"/>
  <c r="R66" i="6"/>
  <c r="S66" i="6"/>
  <c r="T66" i="6"/>
  <c r="U66" i="6"/>
  <c r="P67" i="6"/>
  <c r="P69" i="6" s="1"/>
  <c r="Q67" i="6"/>
  <c r="Q69" i="6" s="1"/>
  <c r="R67" i="6"/>
  <c r="R69" i="6" s="1"/>
  <c r="S67" i="6"/>
  <c r="S69" i="6" s="1"/>
  <c r="T67" i="6"/>
  <c r="T69" i="6" s="1"/>
  <c r="U67" i="6"/>
  <c r="U69" i="6" s="1"/>
  <c r="P77" i="6"/>
  <c r="Z77" i="6" s="1"/>
  <c r="Z76" i="6" s="1"/>
  <c r="Q77" i="6"/>
  <c r="R77" i="6"/>
  <c r="S77" i="6"/>
  <c r="T77" i="6"/>
  <c r="P83" i="6"/>
  <c r="Q83" i="6"/>
  <c r="Q86" i="6" s="1"/>
  <c r="R83" i="6"/>
  <c r="S83" i="6"/>
  <c r="T83" i="6"/>
  <c r="U83" i="6"/>
  <c r="P85" i="6"/>
  <c r="Z85" i="6" s="1"/>
  <c r="Q85" i="6"/>
  <c r="R85" i="6"/>
  <c r="S85" i="6"/>
  <c r="AA85" i="6" s="1"/>
  <c r="T85" i="6"/>
  <c r="U85" i="6"/>
  <c r="P92" i="6"/>
  <c r="U86" i="6" l="1"/>
  <c r="U88" i="6" s="1"/>
  <c r="S86" i="6"/>
  <c r="S88" i="6" s="1"/>
  <c r="AA83" i="6"/>
  <c r="AC66" i="6"/>
  <c r="AC84" i="6"/>
  <c r="AC65" i="6"/>
  <c r="T86" i="6"/>
  <c r="T87" i="6" s="1"/>
  <c r="Q88" i="6"/>
  <c r="AC76" i="6"/>
  <c r="AA77" i="6"/>
  <c r="AA76" i="6" s="1"/>
  <c r="AC39" i="6"/>
  <c r="U41" i="6"/>
  <c r="U42" i="6" s="1"/>
  <c r="Z21" i="6"/>
  <c r="Z24" i="6"/>
  <c r="AA40" i="6"/>
  <c r="AA39" i="6" s="1"/>
  <c r="Q41" i="6"/>
  <c r="Q42" i="6" s="1"/>
  <c r="R41" i="6"/>
  <c r="R42" i="6" s="1"/>
  <c r="R43" i="6"/>
  <c r="AA21" i="6"/>
  <c r="Q25" i="6"/>
  <c r="Q26" i="6" s="1"/>
  <c r="Q27" i="6"/>
  <c r="AC67" i="6"/>
  <c r="AC68" i="6" s="1"/>
  <c r="AC37" i="6"/>
  <c r="U70" i="6"/>
  <c r="U72" i="6" s="1"/>
  <c r="T70" i="6"/>
  <c r="T71" i="6" s="1"/>
  <c r="Z40" i="6"/>
  <c r="Z39" i="6" s="1"/>
  <c r="AA32" i="6"/>
  <c r="AA31" i="6" s="1"/>
  <c r="Z20" i="6"/>
  <c r="AA67" i="6"/>
  <c r="Z63" i="6"/>
  <c r="Z38" i="6"/>
  <c r="Z37" i="6" s="1"/>
  <c r="R70" i="6"/>
  <c r="R71" i="6" s="1"/>
  <c r="P70" i="6"/>
  <c r="P71" i="6" s="1"/>
  <c r="S41" i="6"/>
  <c r="S43" i="6" s="1"/>
  <c r="R25" i="6"/>
  <c r="R26" i="6" s="1"/>
  <c r="Z66" i="6"/>
  <c r="R86" i="6"/>
  <c r="R88" i="6" s="1"/>
  <c r="P86" i="6"/>
  <c r="AA61" i="6"/>
  <c r="Z32" i="6"/>
  <c r="Z83" i="6"/>
  <c r="Z82" i="6" s="1"/>
  <c r="AA65" i="6"/>
  <c r="AA16" i="6"/>
  <c r="S25" i="6"/>
  <c r="AA18" i="6"/>
  <c r="S70" i="6"/>
  <c r="AA69" i="6"/>
  <c r="Z18" i="6"/>
  <c r="P25" i="6"/>
  <c r="P27" i="6" s="1"/>
  <c r="S63" i="6"/>
  <c r="AA63" i="6" s="1"/>
  <c r="Z69" i="6"/>
  <c r="Z16" i="6"/>
  <c r="AA24" i="6"/>
  <c r="AA38" i="6"/>
  <c r="AA37" i="6" s="1"/>
  <c r="U25" i="6"/>
  <c r="U26" i="6" s="1"/>
  <c r="T25" i="6"/>
  <c r="T26" i="6" s="1"/>
  <c r="P41" i="6"/>
  <c r="Z65" i="6"/>
  <c r="T41" i="6"/>
  <c r="T42" i="6" s="1"/>
  <c r="Q70" i="6"/>
  <c r="Q71" i="6" s="1"/>
  <c r="Z61" i="6"/>
  <c r="AA82" i="6"/>
  <c r="AA66" i="6"/>
  <c r="AA84" i="6"/>
  <c r="AA22" i="6"/>
  <c r="AA20" i="6"/>
  <c r="Z84" i="6"/>
  <c r="Z67" i="6"/>
  <c r="Z23" i="6"/>
  <c r="Z31" i="6"/>
  <c r="U27" i="6"/>
  <c r="R47" i="6"/>
  <c r="Q87" i="6"/>
  <c r="U87" i="6" l="1"/>
  <c r="S87" i="6"/>
  <c r="U71" i="6"/>
  <c r="U43" i="6"/>
  <c r="AA25" i="6"/>
  <c r="T88" i="6"/>
  <c r="AA86" i="6"/>
  <c r="AA87" i="6" s="1"/>
  <c r="R87" i="6"/>
  <c r="Z86" i="6"/>
  <c r="Z87" i="6" s="1"/>
  <c r="AC87" i="6"/>
  <c r="U90" i="6"/>
  <c r="U91" i="6" s="1"/>
  <c r="S72" i="6"/>
  <c r="S90" i="6" s="1"/>
  <c r="S91" i="6" s="1"/>
  <c r="Z62" i="6"/>
  <c r="R72" i="6"/>
  <c r="P72" i="6"/>
  <c r="AC71" i="6"/>
  <c r="Z68" i="6"/>
  <c r="Q43" i="6"/>
  <c r="Q45" i="6" s="1"/>
  <c r="Q46" i="6" s="1"/>
  <c r="P43" i="6"/>
  <c r="AC42" i="6"/>
  <c r="S26" i="6"/>
  <c r="S27" i="6"/>
  <c r="AA26" i="6"/>
  <c r="AA17" i="6"/>
  <c r="R27" i="6"/>
  <c r="R45" i="6" s="1"/>
  <c r="R46" i="6" s="1"/>
  <c r="AC26" i="6"/>
  <c r="AA68" i="6"/>
  <c r="S42" i="6"/>
  <c r="AA88" i="6"/>
  <c r="P87" i="6"/>
  <c r="T72" i="6"/>
  <c r="T90" i="6" s="1"/>
  <c r="T91" i="6" s="1"/>
  <c r="AA62" i="6"/>
  <c r="P88" i="6"/>
  <c r="T27" i="6"/>
  <c r="P45" i="6"/>
  <c r="Z43" i="6"/>
  <c r="Z17" i="6"/>
  <c r="Q72" i="6"/>
  <c r="Q90" i="6" s="1"/>
  <c r="Q91" i="6" s="1"/>
  <c r="S71" i="6"/>
  <c r="AA70" i="6"/>
  <c r="AA71" i="6" s="1"/>
  <c r="AA41" i="6"/>
  <c r="AA42" i="6" s="1"/>
  <c r="T43" i="6"/>
  <c r="P42" i="6"/>
  <c r="Z41" i="6"/>
  <c r="Z42" i="6" s="1"/>
  <c r="AA23" i="6"/>
  <c r="P26" i="6"/>
  <c r="Z25" i="6"/>
  <c r="Z26" i="6" s="1"/>
  <c r="Z70" i="6"/>
  <c r="Z71" i="6" s="1"/>
  <c r="P90" i="6"/>
  <c r="R90" i="6"/>
  <c r="R91" i="6" s="1"/>
  <c r="R92" i="6"/>
  <c r="U45" i="6"/>
  <c r="T45" i="6" l="1"/>
  <c r="T46" i="6" s="1"/>
  <c r="AA91" i="6"/>
  <c r="Z88" i="6"/>
  <c r="Z27" i="6"/>
  <c r="AA27" i="6"/>
  <c r="S45" i="6"/>
  <c r="Z45" i="6"/>
  <c r="AA90" i="6"/>
  <c r="P46" i="6"/>
  <c r="AA43" i="6"/>
  <c r="AA72" i="6"/>
  <c r="Z90" i="6"/>
  <c r="P91" i="6"/>
  <c r="Z72" i="6"/>
  <c r="U46" i="6"/>
  <c r="S92" i="6"/>
  <c r="S46" i="6" l="1"/>
  <c r="S48" i="6"/>
  <c r="S49" i="6" s="1"/>
  <c r="AA45" i="6"/>
  <c r="AA46" i="6"/>
  <c r="Z46" i="6"/>
  <c r="Z91" i="6"/>
  <c r="U92" i="6"/>
  <c r="T92" i="6"/>
  <c r="AB55" i="6" l="1"/>
  <c r="AB12" i="6"/>
  <c r="X10" i="6"/>
  <c r="AB35" i="6" l="1"/>
  <c r="V37" i="6" l="1"/>
  <c r="W37" i="6" s="1"/>
  <c r="X37" i="6" s="1"/>
  <c r="V23" i="6"/>
  <c r="J41" i="8" l="1"/>
  <c r="V36" i="6"/>
  <c r="V38" i="6" s="1"/>
  <c r="J16" i="6" l="1"/>
  <c r="D94" i="8" l="1"/>
  <c r="E48" i="8"/>
  <c r="E94" i="8" s="1"/>
  <c r="F48" i="8" l="1"/>
  <c r="D92" i="6"/>
  <c r="E47" i="6"/>
  <c r="E92" i="6" s="1"/>
  <c r="F94" i="8" l="1"/>
  <c r="G48" i="8"/>
  <c r="F47" i="6"/>
  <c r="G47" i="6" s="1"/>
  <c r="H47" i="6" s="1"/>
  <c r="I47" i="6" s="1"/>
  <c r="J47" i="6" s="1"/>
  <c r="K47" i="6" s="1"/>
  <c r="L47" i="6" s="1"/>
  <c r="H48" i="8" l="1"/>
  <c r="I48" i="8" s="1"/>
  <c r="J48" i="8" s="1"/>
  <c r="K48" i="8" s="1"/>
  <c r="L48" i="8" s="1"/>
  <c r="G94" i="8"/>
  <c r="G92" i="6"/>
  <c r="F92" i="6"/>
  <c r="D16" i="8" l="1"/>
  <c r="D18" i="8" s="1"/>
  <c r="I97" i="3" l="1"/>
  <c r="I98" i="3"/>
  <c r="I96" i="3"/>
  <c r="I93" i="3"/>
  <c r="I94" i="3"/>
  <c r="I92" i="3"/>
  <c r="J92" i="3" l="1"/>
  <c r="J96" i="3"/>
  <c r="J93" i="3" l="1"/>
  <c r="D87" i="8" l="1"/>
  <c r="E87" i="8"/>
  <c r="E88" i="8" s="1"/>
  <c r="F87" i="8"/>
  <c r="F88" i="8" s="1"/>
  <c r="F89" i="8" s="1"/>
  <c r="G87" i="8"/>
  <c r="H87" i="8"/>
  <c r="H88" i="8" s="1"/>
  <c r="I87" i="8"/>
  <c r="I88" i="8" s="1"/>
  <c r="D79" i="8"/>
  <c r="E79" i="8"/>
  <c r="F79" i="8"/>
  <c r="G79" i="8"/>
  <c r="H79" i="8"/>
  <c r="I79" i="8"/>
  <c r="D66" i="8"/>
  <c r="E66" i="8"/>
  <c r="F66" i="8"/>
  <c r="G66" i="8"/>
  <c r="H66" i="8"/>
  <c r="I66" i="8"/>
  <c r="D67" i="8"/>
  <c r="E67" i="8"/>
  <c r="F67" i="8"/>
  <c r="G67" i="8"/>
  <c r="H67" i="8"/>
  <c r="I67" i="8"/>
  <c r="D68" i="8"/>
  <c r="E68" i="8"/>
  <c r="F68" i="8"/>
  <c r="G68" i="8"/>
  <c r="H68" i="8"/>
  <c r="I68" i="8"/>
  <c r="D62" i="8"/>
  <c r="D64" i="8" s="1"/>
  <c r="E62" i="8"/>
  <c r="E64" i="8" s="1"/>
  <c r="F62" i="8"/>
  <c r="F64" i="8" s="1"/>
  <c r="G62" i="8"/>
  <c r="G64" i="8" s="1"/>
  <c r="H62" i="8"/>
  <c r="H64" i="8" s="1"/>
  <c r="I62" i="8"/>
  <c r="I64" i="8" s="1"/>
  <c r="D41" i="8"/>
  <c r="E41" i="8"/>
  <c r="E42" i="8" s="1"/>
  <c r="E43" i="8" s="1"/>
  <c r="F41" i="8"/>
  <c r="F42" i="8" s="1"/>
  <c r="G41" i="8"/>
  <c r="H41" i="8"/>
  <c r="H42" i="8" s="1"/>
  <c r="H43" i="8" s="1"/>
  <c r="I41" i="8"/>
  <c r="I42" i="8" s="1"/>
  <c r="D33" i="8"/>
  <c r="E33" i="8"/>
  <c r="F33" i="8"/>
  <c r="G33" i="8"/>
  <c r="H33" i="8"/>
  <c r="I33" i="8"/>
  <c r="D20" i="8"/>
  <c r="E20" i="8"/>
  <c r="F20" i="8"/>
  <c r="G20" i="8"/>
  <c r="H20" i="8"/>
  <c r="I20" i="8"/>
  <c r="D21" i="8"/>
  <c r="E21" i="8"/>
  <c r="F21" i="8"/>
  <c r="G21" i="8"/>
  <c r="H21" i="8"/>
  <c r="I21" i="8"/>
  <c r="D22" i="8"/>
  <c r="E22" i="8"/>
  <c r="F22" i="8"/>
  <c r="G22" i="8"/>
  <c r="H22" i="8"/>
  <c r="I22" i="8"/>
  <c r="E16" i="8"/>
  <c r="E18" i="8" s="1"/>
  <c r="F16" i="8"/>
  <c r="F18" i="8" s="1"/>
  <c r="G16" i="8"/>
  <c r="G18" i="8" s="1"/>
  <c r="H16" i="8"/>
  <c r="H18" i="8" s="1"/>
  <c r="I16" i="8"/>
  <c r="I18" i="8" s="1"/>
  <c r="D71" i="8" l="1"/>
  <c r="D72" i="8" s="1"/>
  <c r="F25" i="8"/>
  <c r="G88" i="8"/>
  <c r="G89" i="8" s="1"/>
  <c r="W87" i="8"/>
  <c r="D88" i="8"/>
  <c r="V87" i="8"/>
  <c r="G42" i="8"/>
  <c r="G44" i="8" s="1"/>
  <c r="W41" i="8"/>
  <c r="D42" i="8"/>
  <c r="V42" i="8" s="1"/>
  <c r="V41" i="8"/>
  <c r="F26" i="8"/>
  <c r="E25" i="8"/>
  <c r="E27" i="8" s="1"/>
  <c r="D25" i="8"/>
  <c r="D27" i="8" s="1"/>
  <c r="H94" i="8"/>
  <c r="F90" i="8"/>
  <c r="F71" i="8"/>
  <c r="F72" i="8" s="1"/>
  <c r="D73" i="8"/>
  <c r="E71" i="8"/>
  <c r="E72" i="8" s="1"/>
  <c r="E44" i="8"/>
  <c r="H71" i="8"/>
  <c r="H72" i="8" s="1"/>
  <c r="G25" i="8"/>
  <c r="G27" i="8" s="1"/>
  <c r="F27" i="8"/>
  <c r="I71" i="8"/>
  <c r="I73" i="8" s="1"/>
  <c r="G71" i="8"/>
  <c r="G72" i="8" s="1"/>
  <c r="I43" i="8"/>
  <c r="I44" i="8"/>
  <c r="H44" i="8"/>
  <c r="H25" i="8"/>
  <c r="H26" i="8" s="1"/>
  <c r="I25" i="8"/>
  <c r="I26" i="8" s="1"/>
  <c r="I90" i="8"/>
  <c r="I89" i="8"/>
  <c r="E90" i="8"/>
  <c r="E89" i="8"/>
  <c r="H90" i="8"/>
  <c r="H89" i="8"/>
  <c r="D90" i="8"/>
  <c r="D89" i="8"/>
  <c r="F44" i="8"/>
  <c r="F43" i="8"/>
  <c r="D26" i="8"/>
  <c r="G90" i="8" l="1"/>
  <c r="G26" i="8"/>
  <c r="G43" i="8"/>
  <c r="D44" i="8"/>
  <c r="D43" i="8"/>
  <c r="D46" i="8"/>
  <c r="D47" i="8" s="1"/>
  <c r="D49" i="8" s="1"/>
  <c r="F73" i="8"/>
  <c r="F92" i="8" s="1"/>
  <c r="F93" i="8" s="1"/>
  <c r="I27" i="8"/>
  <c r="I46" i="8" s="1"/>
  <c r="I47" i="8" s="1"/>
  <c r="E26" i="8"/>
  <c r="H27" i="8"/>
  <c r="H46" i="8" s="1"/>
  <c r="H47" i="8" s="1"/>
  <c r="I94" i="8"/>
  <c r="H73" i="8"/>
  <c r="H92" i="8" s="1"/>
  <c r="H93" i="8" s="1"/>
  <c r="D92" i="8"/>
  <c r="D93" i="8" s="1"/>
  <c r="E46" i="8"/>
  <c r="E47" i="8" s="1"/>
  <c r="F46" i="8"/>
  <c r="F47" i="8" s="1"/>
  <c r="E73" i="8"/>
  <c r="E92" i="8" s="1"/>
  <c r="E93" i="8" s="1"/>
  <c r="G73" i="8"/>
  <c r="G92" i="8" s="1"/>
  <c r="G93" i="8" s="1"/>
  <c r="I92" i="8"/>
  <c r="I93" i="8" s="1"/>
  <c r="I72" i="8"/>
  <c r="G46" i="8"/>
  <c r="G47" i="8" s="1"/>
  <c r="D95" i="8" l="1"/>
  <c r="D98" i="8" s="1"/>
  <c r="J94" i="8"/>
  <c r="D52" i="8"/>
  <c r="D50" i="8"/>
  <c r="D96" i="8" l="1"/>
  <c r="K94" i="8"/>
  <c r="E49" i="8"/>
  <c r="E50" i="8" s="1"/>
  <c r="D100" i="8"/>
  <c r="E95" i="8"/>
  <c r="M94" i="8" l="1"/>
  <c r="L94" i="8"/>
  <c r="E52" i="8"/>
  <c r="E98" i="8"/>
  <c r="E96" i="8"/>
  <c r="N48" i="8" l="1"/>
  <c r="N94" i="8" s="1"/>
  <c r="F49" i="8"/>
  <c r="F50" i="8" s="1"/>
  <c r="E100" i="8"/>
  <c r="F95" i="8"/>
  <c r="F96" i="8" s="1"/>
  <c r="O48" i="8" l="1"/>
  <c r="O94" i="8" s="1"/>
  <c r="F98" i="8"/>
  <c r="G95" i="8" s="1"/>
  <c r="G96" i="8" s="1"/>
  <c r="F52" i="8"/>
  <c r="F100" i="8" l="1"/>
  <c r="G98" i="8"/>
  <c r="G49" i="8"/>
  <c r="G50" i="8" s="1"/>
  <c r="G52" i="8" l="1"/>
  <c r="H49" i="8" l="1"/>
  <c r="H50" i="8" s="1"/>
  <c r="G100" i="8"/>
  <c r="D85" i="6"/>
  <c r="E85" i="6"/>
  <c r="F85" i="6"/>
  <c r="G85" i="6"/>
  <c r="H85" i="6"/>
  <c r="I85" i="6"/>
  <c r="D83" i="6"/>
  <c r="E83" i="6"/>
  <c r="F83" i="6"/>
  <c r="G83" i="6"/>
  <c r="H83" i="6"/>
  <c r="I83" i="6"/>
  <c r="D77" i="6"/>
  <c r="E77" i="6"/>
  <c r="F77" i="6"/>
  <c r="G77" i="6"/>
  <c r="H77" i="6"/>
  <c r="I77" i="6"/>
  <c r="D65" i="6"/>
  <c r="E65" i="6"/>
  <c r="F65" i="6"/>
  <c r="G65" i="6"/>
  <c r="H65" i="6"/>
  <c r="I65" i="6"/>
  <c r="D66" i="6"/>
  <c r="E66" i="6"/>
  <c r="F66" i="6"/>
  <c r="G66" i="6"/>
  <c r="H66" i="6"/>
  <c r="I66" i="6"/>
  <c r="D67" i="6"/>
  <c r="D69" i="6" s="1"/>
  <c r="E67" i="6"/>
  <c r="E69" i="6" s="1"/>
  <c r="F67" i="6"/>
  <c r="F69" i="6" s="1"/>
  <c r="G67" i="6"/>
  <c r="G69" i="6" s="1"/>
  <c r="H67" i="6"/>
  <c r="H69" i="6" s="1"/>
  <c r="I67" i="6"/>
  <c r="I69" i="6" s="1"/>
  <c r="D61" i="6"/>
  <c r="D63" i="6" s="1"/>
  <c r="E61" i="6"/>
  <c r="E63" i="6" s="1"/>
  <c r="F61" i="6"/>
  <c r="F63" i="6" s="1"/>
  <c r="G61" i="6"/>
  <c r="G63" i="6" s="1"/>
  <c r="H61" i="6"/>
  <c r="H63" i="6" s="1"/>
  <c r="I61" i="6"/>
  <c r="I63" i="6" s="1"/>
  <c r="D40" i="6"/>
  <c r="E40" i="6"/>
  <c r="F40" i="6"/>
  <c r="D38" i="6"/>
  <c r="E38" i="6"/>
  <c r="F38" i="6"/>
  <c r="D32" i="6"/>
  <c r="E32" i="6"/>
  <c r="F32" i="6"/>
  <c r="D20" i="6"/>
  <c r="E20" i="6"/>
  <c r="F20" i="6"/>
  <c r="D21" i="6"/>
  <c r="E21" i="6"/>
  <c r="F21" i="6"/>
  <c r="D22" i="6"/>
  <c r="D24" i="6" s="1"/>
  <c r="E22" i="6"/>
  <c r="E24" i="6" s="1"/>
  <c r="F22" i="6"/>
  <c r="F24" i="6" s="1"/>
  <c r="D16" i="6"/>
  <c r="D18" i="6" s="1"/>
  <c r="E16" i="6"/>
  <c r="E18" i="6" s="1"/>
  <c r="F16" i="6"/>
  <c r="F18" i="6" s="1"/>
  <c r="G40" i="6"/>
  <c r="H40" i="6"/>
  <c r="I40" i="6"/>
  <c r="G38" i="6"/>
  <c r="H38" i="6"/>
  <c r="I38" i="6"/>
  <c r="G32" i="6"/>
  <c r="H32" i="6"/>
  <c r="I32" i="6"/>
  <c r="G20" i="6"/>
  <c r="H20" i="6"/>
  <c r="I20" i="6"/>
  <c r="G21" i="6"/>
  <c r="H21" i="6"/>
  <c r="I21" i="6"/>
  <c r="G22" i="6"/>
  <c r="G24" i="6" s="1"/>
  <c r="H22" i="6"/>
  <c r="H24" i="6" s="1"/>
  <c r="I22" i="6"/>
  <c r="I24" i="6" s="1"/>
  <c r="G16" i="6"/>
  <c r="G18" i="6" s="1"/>
  <c r="H16" i="6"/>
  <c r="H18" i="6" s="1"/>
  <c r="I16" i="6"/>
  <c r="I18" i="6" s="1"/>
  <c r="W83" i="6" l="1"/>
  <c r="W85" i="6"/>
  <c r="V40" i="6"/>
  <c r="V85" i="6"/>
  <c r="W40" i="6"/>
  <c r="D86" i="6"/>
  <c r="D87" i="6" s="1"/>
  <c r="V83" i="6"/>
  <c r="D25" i="6"/>
  <c r="D27" i="6" s="1"/>
  <c r="H92" i="6"/>
  <c r="H52" i="8"/>
  <c r="E86" i="6"/>
  <c r="E87" i="6" s="1"/>
  <c r="D70" i="6"/>
  <c r="D72" i="6" s="1"/>
  <c r="F41" i="6"/>
  <c r="F43" i="6" s="1"/>
  <c r="F25" i="6"/>
  <c r="F26" i="6" s="1"/>
  <c r="H25" i="6"/>
  <c r="H26" i="6" s="1"/>
  <c r="E25" i="6"/>
  <c r="I70" i="6"/>
  <c r="I71" i="6" s="1"/>
  <c r="I86" i="6"/>
  <c r="I87" i="6" s="1"/>
  <c r="H70" i="6"/>
  <c r="H72" i="6" s="1"/>
  <c r="H86" i="6"/>
  <c r="H87" i="6" s="1"/>
  <c r="G70" i="6"/>
  <c r="G71" i="6" s="1"/>
  <c r="I25" i="6"/>
  <c r="I26" i="6" s="1"/>
  <c r="G41" i="6"/>
  <c r="G43" i="6" s="1"/>
  <c r="G25" i="6"/>
  <c r="G26" i="6" s="1"/>
  <c r="G86" i="6"/>
  <c r="G88" i="6" s="1"/>
  <c r="F86" i="6"/>
  <c r="F88" i="6" s="1"/>
  <c r="E70" i="6"/>
  <c r="E71" i="6" s="1"/>
  <c r="F70" i="6"/>
  <c r="F71" i="6" s="1"/>
  <c r="D41" i="6"/>
  <c r="I41" i="6"/>
  <c r="H41" i="6"/>
  <c r="E41" i="6"/>
  <c r="D88" i="6" l="1"/>
  <c r="D90" i="6" s="1"/>
  <c r="D91" i="6" s="1"/>
  <c r="D26" i="6"/>
  <c r="I88" i="6"/>
  <c r="E88" i="6"/>
  <c r="F27" i="6"/>
  <c r="F45" i="6" s="1"/>
  <c r="F46" i="6" s="1"/>
  <c r="I92" i="6"/>
  <c r="V41" i="6"/>
  <c r="V86" i="6"/>
  <c r="H71" i="6"/>
  <c r="G42" i="6"/>
  <c r="D71" i="6"/>
  <c r="F87" i="6"/>
  <c r="H27" i="6"/>
  <c r="I49" i="8"/>
  <c r="I50" i="8" s="1"/>
  <c r="I72" i="6"/>
  <c r="I90" i="6" s="1"/>
  <c r="I91" i="6" s="1"/>
  <c r="G72" i="6"/>
  <c r="G90" i="6" s="1"/>
  <c r="G91" i="6" s="1"/>
  <c r="F42" i="6"/>
  <c r="D43" i="6"/>
  <c r="D45" i="6" s="1"/>
  <c r="D42" i="6"/>
  <c r="E43" i="6"/>
  <c r="E42" i="6"/>
  <c r="G27" i="6"/>
  <c r="G45" i="6" s="1"/>
  <c r="G46" i="6" s="1"/>
  <c r="E26" i="6"/>
  <c r="E27" i="6"/>
  <c r="H88" i="6"/>
  <c r="H90" i="6" s="1"/>
  <c r="H91" i="6" s="1"/>
  <c r="I27" i="6"/>
  <c r="G87" i="6"/>
  <c r="E72" i="6"/>
  <c r="E90" i="6" s="1"/>
  <c r="E91" i="6" s="1"/>
  <c r="F72" i="6"/>
  <c r="F90" i="6" s="1"/>
  <c r="F91" i="6" s="1"/>
  <c r="I43" i="6"/>
  <c r="I42" i="6"/>
  <c r="H43" i="6"/>
  <c r="H42" i="6"/>
  <c r="D46" i="6" l="1"/>
  <c r="D48" i="6" s="1"/>
  <c r="D51" i="6" s="1"/>
  <c r="H45" i="6"/>
  <c r="H46" i="6" s="1"/>
  <c r="E45" i="6"/>
  <c r="E46" i="6" s="1"/>
  <c r="J92" i="6"/>
  <c r="I52" i="8"/>
  <c r="D93" i="6"/>
  <c r="D94" i="6" s="1"/>
  <c r="I45" i="6"/>
  <c r="I46" i="6" s="1"/>
  <c r="D49" i="6" l="1"/>
  <c r="K92" i="6"/>
  <c r="D96" i="6"/>
  <c r="E93" i="6" s="1"/>
  <c r="E94" i="6" s="1"/>
  <c r="E48" i="6"/>
  <c r="E49" i="6" s="1"/>
  <c r="L92" i="6" l="1"/>
  <c r="D98" i="6"/>
  <c r="E51" i="6"/>
  <c r="F48" i="6" s="1"/>
  <c r="F51" i="6" s="1"/>
  <c r="E96" i="6"/>
  <c r="N47" i="6" l="1"/>
  <c r="M92" i="6"/>
  <c r="G48" i="6"/>
  <c r="G49" i="6" s="1"/>
  <c r="F49" i="6"/>
  <c r="E98" i="6"/>
  <c r="F93" i="6"/>
  <c r="F94" i="6" s="1"/>
  <c r="O47" i="6" l="1"/>
  <c r="O92" i="6" s="1"/>
  <c r="N92" i="6"/>
  <c r="G51" i="6"/>
  <c r="H48" i="6" s="1"/>
  <c r="H49" i="6" s="1"/>
  <c r="F96" i="6"/>
  <c r="H51" i="6" l="1"/>
  <c r="I48" i="6" s="1"/>
  <c r="I49" i="6" s="1"/>
  <c r="F98" i="6"/>
  <c r="G93" i="6"/>
  <c r="I51" i="6" l="1"/>
  <c r="G96" i="6"/>
  <c r="G98" i="6" s="1"/>
  <c r="G94" i="6"/>
  <c r="J94" i="3"/>
  <c r="J97" i="3" l="1"/>
  <c r="V10" i="6" l="1"/>
  <c r="H95" i="8" l="1"/>
  <c r="J98" i="3"/>
  <c r="H96" i="8" l="1"/>
  <c r="H98" i="8"/>
  <c r="I95" i="8" l="1"/>
  <c r="I96" i="8" s="1"/>
  <c r="E6" i="6"/>
  <c r="L68" i="8" l="1"/>
  <c r="K68" i="8"/>
  <c r="J68" i="8"/>
  <c r="L41" i="8"/>
  <c r="J21" i="8"/>
  <c r="K20" i="8"/>
  <c r="J16" i="8"/>
  <c r="M16" i="8" l="1"/>
  <c r="M18" i="8" s="1"/>
  <c r="M68" i="8"/>
  <c r="N21" i="8"/>
  <c r="N68" i="8"/>
  <c r="O20" i="8"/>
  <c r="O68" i="8"/>
  <c r="L22" i="8"/>
  <c r="N33" i="8"/>
  <c r="L67" i="8"/>
  <c r="L79" i="8"/>
  <c r="M62" i="8"/>
  <c r="M64" i="8" s="1"/>
  <c r="M66" i="8"/>
  <c r="M22" i="8"/>
  <c r="K62" i="8"/>
  <c r="K64" i="8" s="1"/>
  <c r="O62" i="8"/>
  <c r="O64" i="8" s="1"/>
  <c r="K66" i="8"/>
  <c r="O66" i="8"/>
  <c r="L33" i="8"/>
  <c r="J67" i="8"/>
  <c r="N67" i="8"/>
  <c r="J79" i="8"/>
  <c r="N79" i="8"/>
  <c r="J87" i="8"/>
  <c r="N87" i="8"/>
  <c r="N88" i="8" s="1"/>
  <c r="K16" i="8"/>
  <c r="K18" i="8" s="1"/>
  <c r="O18" i="8"/>
  <c r="J22" i="8"/>
  <c r="N22" i="8"/>
  <c r="M20" i="8"/>
  <c r="L21" i="8"/>
  <c r="K22" i="8"/>
  <c r="O22" i="8"/>
  <c r="L16" i="8"/>
  <c r="L18" i="8" s="1"/>
  <c r="J20" i="8"/>
  <c r="J25" i="8" s="1"/>
  <c r="J26" i="8" s="1"/>
  <c r="N20" i="8"/>
  <c r="M21" i="8"/>
  <c r="K33" i="8"/>
  <c r="O33" i="8"/>
  <c r="L62" i="8"/>
  <c r="L64" i="8" s="1"/>
  <c r="J66" i="8"/>
  <c r="N66" i="8"/>
  <c r="M67" i="8"/>
  <c r="K79" i="8"/>
  <c r="O79" i="8"/>
  <c r="J33" i="8"/>
  <c r="J18" i="8"/>
  <c r="N16" i="8"/>
  <c r="N18" i="8" s="1"/>
  <c r="L20" i="8"/>
  <c r="K21" i="8"/>
  <c r="K25" i="8" s="1"/>
  <c r="O21" i="8"/>
  <c r="M33" i="8"/>
  <c r="J62" i="8"/>
  <c r="J64" i="8" s="1"/>
  <c r="N62" i="8"/>
  <c r="N64" i="8" s="1"/>
  <c r="L66" i="8"/>
  <c r="K67" i="8"/>
  <c r="O67" i="8"/>
  <c r="M79" i="8"/>
  <c r="K87" i="8"/>
  <c r="K88" i="8" s="1"/>
  <c r="M41" i="8"/>
  <c r="K41" i="8"/>
  <c r="O41" i="8"/>
  <c r="O42" i="8" s="1"/>
  <c r="O43" i="8" s="1"/>
  <c r="L87" i="8"/>
  <c r="L88" i="8" s="1"/>
  <c r="O87" i="8"/>
  <c r="O88" i="8" s="1"/>
  <c r="O89" i="8" s="1"/>
  <c r="L42" i="8"/>
  <c r="L43" i="8" s="1"/>
  <c r="M87" i="8"/>
  <c r="J42" i="8"/>
  <c r="J43" i="8" s="1"/>
  <c r="N41" i="8"/>
  <c r="N42" i="8" s="1"/>
  <c r="N43" i="8" s="1"/>
  <c r="N25" i="8" l="1"/>
  <c r="J88" i="8"/>
  <c r="J89" i="8" s="1"/>
  <c r="X87" i="8"/>
  <c r="K42" i="8"/>
  <c r="X41" i="8"/>
  <c r="M88" i="8"/>
  <c r="M89" i="8" s="1"/>
  <c r="Y87" i="8"/>
  <c r="AB87" i="8"/>
  <c r="M42" i="8"/>
  <c r="M43" i="8" s="1"/>
  <c r="AB41" i="8"/>
  <c r="Y41" i="8"/>
  <c r="O25" i="8"/>
  <c r="O26" i="8" s="1"/>
  <c r="L71" i="8"/>
  <c r="L73" i="8" s="1"/>
  <c r="N90" i="8"/>
  <c r="O71" i="8"/>
  <c r="O73" i="8" s="1"/>
  <c r="M71" i="8"/>
  <c r="M73" i="8" s="1"/>
  <c r="K71" i="8"/>
  <c r="K72" i="8" s="1"/>
  <c r="J90" i="8"/>
  <c r="N71" i="8"/>
  <c r="N73" i="8" s="1"/>
  <c r="J71" i="8"/>
  <c r="J73" i="8" s="1"/>
  <c r="M25" i="8"/>
  <c r="M26" i="8" s="1"/>
  <c r="L25" i="8"/>
  <c r="L26" i="8" s="1"/>
  <c r="AB16" i="8"/>
  <c r="N89" i="8"/>
  <c r="K90" i="8"/>
  <c r="N27" i="8"/>
  <c r="J27" i="8"/>
  <c r="N26" i="8"/>
  <c r="K27" i="8"/>
  <c r="K26" i="8"/>
  <c r="K43" i="8"/>
  <c r="K44" i="8"/>
  <c r="K89" i="8"/>
  <c r="L89" i="8"/>
  <c r="L90" i="8"/>
  <c r="O44" i="8"/>
  <c r="O90" i="8"/>
  <c r="L44" i="8"/>
  <c r="J44" i="8"/>
  <c r="N44" i="8"/>
  <c r="M90" i="8" l="1"/>
  <c r="M92" i="8" s="1"/>
  <c r="M44" i="8"/>
  <c r="O27" i="8"/>
  <c r="O46" i="8" s="1"/>
  <c r="L72" i="8"/>
  <c r="O72" i="8"/>
  <c r="N92" i="8"/>
  <c r="M72" i="8"/>
  <c r="N72" i="8"/>
  <c r="L27" i="8"/>
  <c r="L46" i="8" s="1"/>
  <c r="L47" i="8" s="1"/>
  <c r="K73" i="8"/>
  <c r="K92" i="8" s="1"/>
  <c r="K93" i="8" s="1"/>
  <c r="J92" i="8"/>
  <c r="J93" i="8" s="1"/>
  <c r="M27" i="8"/>
  <c r="M46" i="8" s="1"/>
  <c r="J72" i="8"/>
  <c r="N46" i="8"/>
  <c r="K46" i="8"/>
  <c r="K47" i="8" s="1"/>
  <c r="L92" i="8"/>
  <c r="J46" i="8"/>
  <c r="J47" i="8" s="1"/>
  <c r="O92" i="8"/>
  <c r="L93" i="8" l="1"/>
  <c r="O93" i="8"/>
  <c r="N93" i="8"/>
  <c r="M93" i="8"/>
  <c r="N47" i="8"/>
  <c r="O47" i="8"/>
  <c r="M47" i="8"/>
  <c r="J49" i="8"/>
  <c r="J52" i="8" s="1"/>
  <c r="J50" i="8" l="1"/>
  <c r="H100" i="8"/>
  <c r="K49" i="8" l="1"/>
  <c r="K50" i="8" s="1"/>
  <c r="I98" i="8"/>
  <c r="I100" i="8" l="1"/>
  <c r="J95" i="8"/>
  <c r="J96" i="8" s="1"/>
  <c r="K52" i="8"/>
  <c r="J98" i="8" l="1"/>
  <c r="L49" i="8"/>
  <c r="L50" i="8" s="1"/>
  <c r="L52" i="8" l="1"/>
  <c r="K95" i="8"/>
  <c r="K96" i="8" s="1"/>
  <c r="J100" i="8"/>
  <c r="K98" i="8" l="1"/>
  <c r="M49" i="8"/>
  <c r="M50" i="8" s="1"/>
  <c r="M52" i="8" l="1"/>
  <c r="L95" i="8"/>
  <c r="L96" i="8" s="1"/>
  <c r="K100" i="8"/>
  <c r="L98" i="8" l="1"/>
  <c r="M95" i="8" s="1"/>
  <c r="M96" i="8" s="1"/>
  <c r="N49" i="8"/>
  <c r="N50" i="8" s="1"/>
  <c r="L100" i="8" l="1"/>
  <c r="N52" i="8"/>
  <c r="O49" i="8" s="1"/>
  <c r="O50" i="8" s="1"/>
  <c r="M98" i="8"/>
  <c r="N95" i="8" l="1"/>
  <c r="N96" i="8" s="1"/>
  <c r="M100" i="8"/>
  <c r="O52" i="8"/>
  <c r="N98" i="8" l="1"/>
  <c r="O95" i="8" l="1"/>
  <c r="O96" i="8" s="1"/>
  <c r="N100" i="8"/>
  <c r="O98" i="8" l="1"/>
  <c r="O100" i="8" s="1"/>
  <c r="K67" i="6"/>
  <c r="J67" i="6"/>
  <c r="N67" i="6" l="1"/>
  <c r="M67" i="6"/>
  <c r="O67" i="6"/>
  <c r="M66" i="6"/>
  <c r="M77" i="6"/>
  <c r="M85" i="6"/>
  <c r="J61" i="6"/>
  <c r="J63" i="6" s="1"/>
  <c r="N61" i="6"/>
  <c r="N63" i="6" s="1"/>
  <c r="J65" i="6"/>
  <c r="N65" i="6"/>
  <c r="K66" i="6"/>
  <c r="O66" i="6"/>
  <c r="K77" i="6"/>
  <c r="K85" i="6"/>
  <c r="O85" i="6"/>
  <c r="L32" i="6"/>
  <c r="N32" i="6"/>
  <c r="M32" i="6"/>
  <c r="M61" i="6"/>
  <c r="M63" i="6" s="1"/>
  <c r="K65" i="6"/>
  <c r="O65" i="6"/>
  <c r="J66" i="6"/>
  <c r="N66" i="6"/>
  <c r="L77" i="6"/>
  <c r="L85" i="6"/>
  <c r="N16" i="6"/>
  <c r="N18" i="6" s="1"/>
  <c r="K32" i="6"/>
  <c r="O32" i="6"/>
  <c r="K61" i="6"/>
  <c r="K63" i="6" s="1"/>
  <c r="O61" i="6"/>
  <c r="O63" i="6" s="1"/>
  <c r="M65" i="6"/>
  <c r="J77" i="6"/>
  <c r="N77" i="6"/>
  <c r="N85" i="6"/>
  <c r="O77" i="6"/>
  <c r="J85" i="6"/>
  <c r="L22" i="6"/>
  <c r="L20" i="6"/>
  <c r="L21" i="6"/>
  <c r="M22" i="6"/>
  <c r="M20" i="6"/>
  <c r="M21" i="6"/>
  <c r="J22" i="6"/>
  <c r="N22" i="6"/>
  <c r="J20" i="6"/>
  <c r="N20" i="6"/>
  <c r="J21" i="6"/>
  <c r="N21" i="6"/>
  <c r="K16" i="6"/>
  <c r="O16" i="6"/>
  <c r="O18" i="6" s="1"/>
  <c r="M16" i="6"/>
  <c r="K22" i="6"/>
  <c r="O22" i="6"/>
  <c r="K20" i="6"/>
  <c r="O20" i="6"/>
  <c r="K21" i="6"/>
  <c r="O21" i="6"/>
  <c r="M38" i="6"/>
  <c r="L61" i="6"/>
  <c r="L63" i="6" s="1"/>
  <c r="L67" i="6"/>
  <c r="L65" i="6"/>
  <c r="L66" i="6"/>
  <c r="L16" i="6"/>
  <c r="L18" i="6" s="1"/>
  <c r="L40" i="6"/>
  <c r="M40" i="6"/>
  <c r="J40" i="6"/>
  <c r="N40" i="6"/>
  <c r="K40" i="6"/>
  <c r="O40" i="6"/>
  <c r="J38" i="6"/>
  <c r="N38" i="6"/>
  <c r="K38" i="6"/>
  <c r="O38" i="6"/>
  <c r="L38" i="6"/>
  <c r="AB16" i="6" l="1"/>
  <c r="K18" i="6"/>
  <c r="Y40" i="6"/>
  <c r="X85" i="6"/>
  <c r="AB85" i="6"/>
  <c r="AB38" i="6"/>
  <c r="Y38" i="6"/>
  <c r="X40" i="6"/>
  <c r="Y85" i="6"/>
  <c r="AB40" i="6"/>
  <c r="M18" i="6"/>
  <c r="L41" i="6"/>
  <c r="L42" i="6" s="1"/>
  <c r="N41" i="6"/>
  <c r="N42" i="6" s="1"/>
  <c r="K41" i="6"/>
  <c r="K42" i="6" s="1"/>
  <c r="M41" i="6"/>
  <c r="M42" i="6" s="1"/>
  <c r="O41" i="6"/>
  <c r="O42" i="6" s="1"/>
  <c r="J41" i="6"/>
  <c r="K43" i="6" l="1"/>
  <c r="J42" i="6"/>
  <c r="J32" i="6"/>
  <c r="J43" i="6" s="1"/>
  <c r="J18" i="6"/>
  <c r="O43" i="6"/>
  <c r="M43" i="6"/>
  <c r="N43" i="6"/>
  <c r="L43" i="6"/>
  <c r="J83" i="6" l="1"/>
  <c r="J69" i="6"/>
  <c r="J24" i="6"/>
  <c r="J25" i="6" l="1"/>
  <c r="J27" i="6" s="1"/>
  <c r="J45" i="6" s="1"/>
  <c r="J46" i="6" s="1"/>
  <c r="J70" i="6"/>
  <c r="J71" i="6" s="1"/>
  <c r="J86" i="6"/>
  <c r="J87" i="6" s="1"/>
  <c r="K83" i="6"/>
  <c r="K86" i="6" s="1"/>
  <c r="K69" i="6"/>
  <c r="K70" i="6" s="1"/>
  <c r="K24" i="6"/>
  <c r="K25" i="6" s="1"/>
  <c r="J26" i="6" l="1"/>
  <c r="J88" i="6"/>
  <c r="J72" i="6"/>
  <c r="J90" i="6" s="1"/>
  <c r="J91" i="6" s="1"/>
  <c r="L83" i="6"/>
  <c r="L69" i="6"/>
  <c r="L24" i="6"/>
  <c r="L25" i="6" s="1"/>
  <c r="K71" i="6"/>
  <c r="K72" i="6"/>
  <c r="K26" i="6"/>
  <c r="K27" i="6"/>
  <c r="K45" i="6" s="1"/>
  <c r="K46" i="6" s="1"/>
  <c r="K87" i="6"/>
  <c r="K88" i="6"/>
  <c r="L70" i="6" l="1"/>
  <c r="L71" i="6" s="1"/>
  <c r="L86" i="6"/>
  <c r="L87" i="6" s="1"/>
  <c r="X83" i="6"/>
  <c r="M83" i="6"/>
  <c r="M69" i="6"/>
  <c r="M24" i="6"/>
  <c r="L26" i="6"/>
  <c r="L27" i="6"/>
  <c r="L45" i="6" s="1"/>
  <c r="K90" i="6"/>
  <c r="K91" i="6" s="1"/>
  <c r="L88" i="6"/>
  <c r="H93" i="6"/>
  <c r="H94" i="6" s="1"/>
  <c r="L72" i="6" l="1"/>
  <c r="L90" i="6" s="1"/>
  <c r="L91" i="6" s="1"/>
  <c r="L46" i="6"/>
  <c r="M70" i="6"/>
  <c r="M71" i="6" s="1"/>
  <c r="M86" i="6"/>
  <c r="M87" i="6" s="1"/>
  <c r="M25" i="6"/>
  <c r="M27" i="6" s="1"/>
  <c r="N83" i="6"/>
  <c r="N86" i="6" s="1"/>
  <c r="N69" i="6"/>
  <c r="N70" i="6" s="1"/>
  <c r="N24" i="6"/>
  <c r="N25" i="6" s="1"/>
  <c r="M26" i="6" l="1"/>
  <c r="M88" i="6"/>
  <c r="M72" i="6"/>
  <c r="M90" i="6" s="1"/>
  <c r="M91" i="6" s="1"/>
  <c r="M45" i="6"/>
  <c r="M46" i="6" s="1"/>
  <c r="O83" i="6"/>
  <c r="O86" i="6" s="1"/>
  <c r="AB86" i="6" s="1"/>
  <c r="O69" i="6"/>
  <c r="O24" i="6"/>
  <c r="N71" i="6"/>
  <c r="N72" i="6"/>
  <c r="N87" i="6"/>
  <c r="N88" i="6"/>
  <c r="H96" i="6"/>
  <c r="I93" i="6" s="1"/>
  <c r="I94" i="6" s="1"/>
  <c r="N26" i="6"/>
  <c r="N27" i="6"/>
  <c r="N45" i="6" s="1"/>
  <c r="N46" i="6" s="1"/>
  <c r="O25" i="6" l="1"/>
  <c r="O26" i="6" s="1"/>
  <c r="AB24" i="6"/>
  <c r="O70" i="6"/>
  <c r="O71" i="6" s="1"/>
  <c r="AB69" i="6"/>
  <c r="Y69" i="6"/>
  <c r="Y86" i="6"/>
  <c r="Y83" i="6"/>
  <c r="AB83" i="6"/>
  <c r="Y24" i="6"/>
  <c r="N90" i="6"/>
  <c r="N91" i="6" s="1"/>
  <c r="O87" i="6"/>
  <c r="O88" i="6"/>
  <c r="O27" i="6" l="1"/>
  <c r="O45" i="6" s="1"/>
  <c r="O72" i="6"/>
  <c r="O90" i="6" s="1"/>
  <c r="O91" i="6" s="1"/>
  <c r="H98" i="6"/>
  <c r="I96" i="6"/>
  <c r="AB27" i="6" l="1"/>
  <c r="O46" i="6"/>
  <c r="J93" i="6"/>
  <c r="I98" i="6" l="1"/>
  <c r="J48" i="6"/>
  <c r="J51" i="6" s="1"/>
  <c r="J94" i="6"/>
  <c r="J96" i="6"/>
  <c r="J98" i="6" l="1"/>
  <c r="K48" i="6"/>
  <c r="J49" i="6"/>
  <c r="K93" i="6"/>
  <c r="K49" i="6" l="1"/>
  <c r="K51" i="6"/>
  <c r="K94" i="6"/>
  <c r="K96" i="6"/>
  <c r="L93" i="6" l="1"/>
  <c r="L94" i="6" s="1"/>
  <c r="K98" i="6"/>
  <c r="L48" i="6"/>
  <c r="L51" i="6" l="1"/>
  <c r="M48" i="6" s="1"/>
  <c r="L49" i="6"/>
  <c r="L96" i="6"/>
  <c r="M49" i="6" l="1"/>
  <c r="M93" i="6"/>
  <c r="M96" i="6" s="1"/>
  <c r="M51" i="6"/>
  <c r="L98" i="6"/>
  <c r="N93" i="6" l="1"/>
  <c r="N96" i="6" s="1"/>
  <c r="M98" i="6"/>
  <c r="N48" i="6"/>
  <c r="M94" i="6"/>
  <c r="O93" i="6" l="1"/>
  <c r="N49" i="6"/>
  <c r="N51" i="6"/>
  <c r="N94" i="6"/>
  <c r="N98" i="6" l="1"/>
  <c r="O48" i="6"/>
  <c r="O94" i="6"/>
  <c r="O96" i="6"/>
  <c r="P93" i="6" l="1"/>
  <c r="O49" i="6"/>
  <c r="O51" i="6"/>
  <c r="O98" i="6" l="1"/>
  <c r="P48" i="6"/>
  <c r="P94" i="6"/>
  <c r="P96" i="6"/>
  <c r="V93" i="6"/>
  <c r="Y95" i="8"/>
  <c r="V95" i="8"/>
  <c r="W95" i="8"/>
  <c r="X95" i="8"/>
  <c r="AB95" i="8"/>
  <c r="Y49" i="8"/>
  <c r="V49" i="8"/>
  <c r="V93" i="8"/>
  <c r="V81" i="8"/>
  <c r="W81" i="8"/>
  <c r="X81" i="8"/>
  <c r="Y81" i="8"/>
  <c r="AB81" i="8"/>
  <c r="V82" i="8"/>
  <c r="W82" i="8"/>
  <c r="X82" i="8"/>
  <c r="Y82" i="8"/>
  <c r="AB82" i="8"/>
  <c r="V83" i="8"/>
  <c r="W83" i="8"/>
  <c r="X83" i="8"/>
  <c r="Y83" i="8"/>
  <c r="AB83" i="8"/>
  <c r="V56" i="8"/>
  <c r="W56" i="8"/>
  <c r="X56" i="8"/>
  <c r="Y56" i="8"/>
  <c r="AB56" i="8"/>
  <c r="V57" i="8"/>
  <c r="W57" i="8"/>
  <c r="X57" i="8"/>
  <c r="Y57" i="8"/>
  <c r="AB57" i="8"/>
  <c r="V58" i="8"/>
  <c r="W58" i="8"/>
  <c r="X58" i="8"/>
  <c r="Y58" i="8"/>
  <c r="AB58" i="8"/>
  <c r="V59" i="8"/>
  <c r="W59" i="8"/>
  <c r="X59" i="8"/>
  <c r="Y59" i="8"/>
  <c r="AB59" i="8"/>
  <c r="V35" i="8"/>
  <c r="W35" i="8"/>
  <c r="X35" i="8"/>
  <c r="Y35" i="8"/>
  <c r="AB35" i="8"/>
  <c r="V36" i="8"/>
  <c r="W36" i="8"/>
  <c r="X36" i="8"/>
  <c r="Y36" i="8"/>
  <c r="AB36" i="8"/>
  <c r="V37" i="8"/>
  <c r="W37" i="8"/>
  <c r="X37" i="8"/>
  <c r="Y37" i="8"/>
  <c r="AB37" i="8"/>
  <c r="V10" i="8"/>
  <c r="W10" i="8"/>
  <c r="X10" i="8"/>
  <c r="V11" i="8"/>
  <c r="W11" i="8"/>
  <c r="X11" i="8"/>
  <c r="Y11" i="8"/>
  <c r="AB11" i="8"/>
  <c r="V12" i="8"/>
  <c r="W12" i="8"/>
  <c r="X12" i="8"/>
  <c r="Y12" i="8"/>
  <c r="AB12" i="8"/>
  <c r="V13" i="8"/>
  <c r="W13" i="8"/>
  <c r="X13" i="8"/>
  <c r="Y13" i="8"/>
  <c r="AB13" i="8"/>
  <c r="V79" i="6"/>
  <c r="W79" i="6"/>
  <c r="X79" i="6"/>
  <c r="Y79" i="6"/>
  <c r="AB79" i="6"/>
  <c r="V80" i="6"/>
  <c r="W80" i="6"/>
  <c r="X80" i="6"/>
  <c r="Y80" i="6"/>
  <c r="AB80" i="6"/>
  <c r="V81" i="6"/>
  <c r="W81" i="6"/>
  <c r="X81" i="6"/>
  <c r="Y81" i="6"/>
  <c r="AB81" i="6"/>
  <c r="W77" i="6"/>
  <c r="V77" i="6"/>
  <c r="Y56" i="6"/>
  <c r="Y55" i="6"/>
  <c r="V55" i="6"/>
  <c r="W55" i="6"/>
  <c r="X55" i="6"/>
  <c r="V56" i="6"/>
  <c r="W56" i="6"/>
  <c r="X56" i="6"/>
  <c r="AB56" i="6"/>
  <c r="V57" i="6"/>
  <c r="W57" i="6"/>
  <c r="X57" i="6"/>
  <c r="Y57" i="6"/>
  <c r="AB57" i="6"/>
  <c r="V58" i="6"/>
  <c r="W58" i="6"/>
  <c r="X58" i="6"/>
  <c r="Y58" i="6"/>
  <c r="AB58" i="6"/>
  <c r="V61" i="6"/>
  <c r="AB11" i="6"/>
  <c r="AB13" i="6"/>
  <c r="Y34" i="6"/>
  <c r="V34" i="6"/>
  <c r="W34" i="6"/>
  <c r="X34" i="6"/>
  <c r="AB34" i="6"/>
  <c r="V35" i="6"/>
  <c r="W35" i="6"/>
  <c r="X35" i="6"/>
  <c r="Y35" i="6"/>
  <c r="W36" i="6"/>
  <c r="W38" i="6" s="1"/>
  <c r="X36" i="6"/>
  <c r="X38" i="6" s="1"/>
  <c r="Y36" i="6"/>
  <c r="Y39" i="6" s="1"/>
  <c r="AB36" i="6"/>
  <c r="AB37" i="6" s="1"/>
  <c r="Q93" i="6" l="1"/>
  <c r="Q96" i="6" s="1"/>
  <c r="P49" i="6"/>
  <c r="Y37" i="6"/>
  <c r="AB84" i="6"/>
  <c r="AB82" i="6"/>
  <c r="Y84" i="6"/>
  <c r="Y82" i="6"/>
  <c r="AB39" i="6"/>
  <c r="W23" i="6"/>
  <c r="X23" i="6" s="1"/>
  <c r="W65" i="6"/>
  <c r="AB67" i="6"/>
  <c r="AB68" i="6" s="1"/>
  <c r="AB66" i="6"/>
  <c r="V66" i="6"/>
  <c r="Y67" i="6"/>
  <c r="Y68" i="6" s="1"/>
  <c r="AB22" i="8"/>
  <c r="V22" i="8"/>
  <c r="Y68" i="8"/>
  <c r="W21" i="8"/>
  <c r="X20" i="8"/>
  <c r="Y22" i="8"/>
  <c r="AB67" i="8"/>
  <c r="V67" i="8"/>
  <c r="W66" i="8"/>
  <c r="X68" i="8"/>
  <c r="W66" i="6"/>
  <c r="X65" i="6"/>
  <c r="AB22" i="6"/>
  <c r="Y66" i="6"/>
  <c r="AB65" i="6"/>
  <c r="V65" i="6"/>
  <c r="V67" i="6"/>
  <c r="W67" i="6"/>
  <c r="X66" i="6"/>
  <c r="Y65" i="6"/>
  <c r="AB21" i="8"/>
  <c r="V21" i="8"/>
  <c r="W20" i="8"/>
  <c r="Y67" i="8"/>
  <c r="AB66" i="8"/>
  <c r="V66" i="8"/>
  <c r="X67" i="6"/>
  <c r="AB20" i="6"/>
  <c r="W22" i="8"/>
  <c r="AB68" i="8"/>
  <c r="V68" i="8"/>
  <c r="X21" i="8"/>
  <c r="Y20" i="8"/>
  <c r="W67" i="8"/>
  <c r="X66" i="8"/>
  <c r="X22" i="8"/>
  <c r="W68" i="8"/>
  <c r="Y21" i="8"/>
  <c r="AB20" i="8"/>
  <c r="V20" i="8"/>
  <c r="X67" i="8"/>
  <c r="Y66" i="8"/>
  <c r="AB21" i="6"/>
  <c r="V68" i="6"/>
  <c r="P98" i="6" l="1"/>
  <c r="Q48" i="6"/>
  <c r="R93" i="6"/>
  <c r="R94" i="6" s="1"/>
  <c r="Q94" i="6"/>
  <c r="Z93" i="6"/>
  <c r="Z94" i="6" s="1"/>
  <c r="W68" i="6"/>
  <c r="V69" i="6"/>
  <c r="W69" i="6"/>
  <c r="Q51" i="6" l="1"/>
  <c r="Q98" i="6"/>
  <c r="R48" i="6"/>
  <c r="R49" i="6" s="1"/>
  <c r="R96" i="6"/>
  <c r="Z48" i="6"/>
  <c r="Z49" i="6" s="1"/>
  <c r="X68" i="6"/>
  <c r="X69" i="6" s="1"/>
  <c r="V18" i="6"/>
  <c r="Y12" i="6"/>
  <c r="Y20" i="6" s="1"/>
  <c r="Y13" i="6"/>
  <c r="Y21" i="6" s="1"/>
  <c r="X12" i="6"/>
  <c r="X20" i="6" s="1"/>
  <c r="X13" i="6"/>
  <c r="X21" i="6" s="1"/>
  <c r="W12" i="6"/>
  <c r="W20" i="6" s="1"/>
  <c r="W13" i="6"/>
  <c r="W21" i="6" s="1"/>
  <c r="V12" i="6"/>
  <c r="V20" i="6" s="1"/>
  <c r="V13" i="6"/>
  <c r="V21" i="6" s="1"/>
  <c r="S93" i="6" l="1"/>
  <c r="R51" i="6"/>
  <c r="V32" i="6"/>
  <c r="V30" i="6"/>
  <c r="S94" i="6" l="1"/>
  <c r="S96" i="6"/>
  <c r="R98" i="6"/>
  <c r="V31" i="6"/>
  <c r="T93" i="6" l="1"/>
  <c r="S51" i="6"/>
  <c r="V43" i="6"/>
  <c r="Y16" i="6"/>
  <c r="X16" i="6"/>
  <c r="W16" i="6"/>
  <c r="V11" i="6"/>
  <c r="V22" i="6" s="1"/>
  <c r="V24" i="6" s="1"/>
  <c r="W11" i="6"/>
  <c r="W22" i="6" s="1"/>
  <c r="W24" i="6" s="1"/>
  <c r="W10" i="6"/>
  <c r="X11" i="6"/>
  <c r="X22" i="6" s="1"/>
  <c r="X24" i="6" s="1"/>
  <c r="Y11" i="6"/>
  <c r="Y22" i="6" s="1"/>
  <c r="Y23" i="6" s="1"/>
  <c r="T48" i="6" l="1"/>
  <c r="T51" i="6"/>
  <c r="S98" i="6"/>
  <c r="T94" i="6"/>
  <c r="T96" i="6"/>
  <c r="V48" i="6"/>
  <c r="U93" i="6" l="1"/>
  <c r="U48" i="6"/>
  <c r="U51" i="6" s="1"/>
  <c r="T98" i="6"/>
  <c r="T49" i="6"/>
  <c r="AA48" i="6"/>
  <c r="AA49" i="6" s="1"/>
  <c r="Y18" i="8"/>
  <c r="Y16" i="8"/>
  <c r="U96" i="6" l="1"/>
  <c r="U98" i="6" s="1"/>
  <c r="U49" i="6"/>
  <c r="U94" i="6"/>
  <c r="AA93" i="6"/>
  <c r="AA94" i="6" s="1"/>
  <c r="Y17" i="8"/>
  <c r="C101" i="9" l="1"/>
  <c r="C96" i="9"/>
  <c r="B96" i="9"/>
  <c r="H95" i="9"/>
  <c r="I95" i="9" s="1"/>
  <c r="J95" i="9" s="1"/>
  <c r="K95" i="9" s="1"/>
  <c r="L95" i="9" s="1"/>
  <c r="M95" i="9" s="1"/>
  <c r="N95" i="9" s="1"/>
  <c r="O95" i="9" s="1"/>
  <c r="E95" i="9"/>
  <c r="F95" i="9" s="1"/>
  <c r="C95" i="9"/>
  <c r="C94" i="9"/>
  <c r="B94" i="9"/>
  <c r="B91" i="9"/>
  <c r="B89" i="9"/>
  <c r="D88" i="9"/>
  <c r="D89" i="9" s="1"/>
  <c r="B88" i="9"/>
  <c r="E87" i="9"/>
  <c r="E88" i="9" s="1"/>
  <c r="E89" i="9" s="1"/>
  <c r="E90" i="9" s="1"/>
  <c r="B87" i="9"/>
  <c r="C84" i="9"/>
  <c r="B84" i="9"/>
  <c r="C83" i="9"/>
  <c r="B83" i="9"/>
  <c r="C82" i="9"/>
  <c r="B82" i="9"/>
  <c r="O80" i="9"/>
  <c r="N80" i="9"/>
  <c r="M80" i="9"/>
  <c r="L80" i="9"/>
  <c r="K80" i="9"/>
  <c r="J80" i="9"/>
  <c r="I80" i="9"/>
  <c r="H80" i="9"/>
  <c r="G80" i="9"/>
  <c r="F80" i="9"/>
  <c r="E80" i="9"/>
  <c r="D80" i="9"/>
  <c r="B80" i="9"/>
  <c r="C79" i="9"/>
  <c r="B79" i="9"/>
  <c r="T78" i="9"/>
  <c r="S78" i="9"/>
  <c r="R78" i="9"/>
  <c r="Q78" i="9"/>
  <c r="P78" i="9"/>
  <c r="C78" i="9"/>
  <c r="B78" i="9"/>
  <c r="B77" i="9"/>
  <c r="B74" i="9"/>
  <c r="B72" i="9"/>
  <c r="O69" i="9"/>
  <c r="N69" i="9"/>
  <c r="M69" i="9"/>
  <c r="L69" i="9"/>
  <c r="K69" i="9"/>
  <c r="J69" i="9"/>
  <c r="I69" i="9"/>
  <c r="H69" i="9"/>
  <c r="G69" i="9"/>
  <c r="F69" i="9"/>
  <c r="E69" i="9"/>
  <c r="D69" i="9"/>
  <c r="B69" i="9"/>
  <c r="O68" i="9"/>
  <c r="N68" i="9"/>
  <c r="M68" i="9"/>
  <c r="L68" i="9"/>
  <c r="K68" i="9"/>
  <c r="J68" i="9"/>
  <c r="I68" i="9"/>
  <c r="I72" i="9" s="1"/>
  <c r="H68" i="9"/>
  <c r="G68" i="9"/>
  <c r="F68" i="9"/>
  <c r="E68" i="9"/>
  <c r="D68" i="9"/>
  <c r="B68" i="9"/>
  <c r="O67" i="9"/>
  <c r="O72" i="9" s="1"/>
  <c r="N67" i="9"/>
  <c r="M67" i="9"/>
  <c r="L67" i="9"/>
  <c r="K67" i="9"/>
  <c r="K72" i="9" s="1"/>
  <c r="K73" i="9" s="1"/>
  <c r="J67" i="9"/>
  <c r="J72" i="9" s="1"/>
  <c r="I67" i="9"/>
  <c r="H67" i="9"/>
  <c r="H72" i="9" s="1"/>
  <c r="G67" i="9"/>
  <c r="G72" i="9" s="1"/>
  <c r="F67" i="9"/>
  <c r="E67" i="9"/>
  <c r="E72" i="9" s="1"/>
  <c r="D67" i="9"/>
  <c r="B67" i="9"/>
  <c r="B65" i="9"/>
  <c r="C64" i="9"/>
  <c r="B64" i="9"/>
  <c r="O63" i="9"/>
  <c r="O65" i="9" s="1"/>
  <c r="N63" i="9"/>
  <c r="N65" i="9" s="1"/>
  <c r="M63" i="9"/>
  <c r="L63" i="9"/>
  <c r="L65" i="9" s="1"/>
  <c r="K63" i="9"/>
  <c r="K65" i="9" s="1"/>
  <c r="J63" i="9"/>
  <c r="J65" i="9" s="1"/>
  <c r="I63" i="9"/>
  <c r="I65" i="9" s="1"/>
  <c r="H63" i="9"/>
  <c r="H65" i="9" s="1"/>
  <c r="H74" i="9" s="1"/>
  <c r="G63" i="9"/>
  <c r="G65" i="9" s="1"/>
  <c r="F63" i="9"/>
  <c r="F65" i="9" s="1"/>
  <c r="E63" i="9"/>
  <c r="E65" i="9" s="1"/>
  <c r="D63" i="9"/>
  <c r="D65" i="9" s="1"/>
  <c r="B63" i="9"/>
  <c r="B62" i="9"/>
  <c r="C53" i="9"/>
  <c r="C99" i="9" s="1"/>
  <c r="H49" i="9"/>
  <c r="I49" i="9" s="1"/>
  <c r="J49" i="9" s="1"/>
  <c r="K49" i="9" s="1"/>
  <c r="L49" i="9" s="1"/>
  <c r="M49" i="9" s="1"/>
  <c r="N49" i="9" s="1"/>
  <c r="O49" i="9" s="1"/>
  <c r="E49" i="9"/>
  <c r="F49" i="9" s="1"/>
  <c r="C47" i="9"/>
  <c r="C93" i="9" s="1"/>
  <c r="C45" i="9"/>
  <c r="C91" i="9" s="1"/>
  <c r="C43" i="9"/>
  <c r="C89" i="9" s="1"/>
  <c r="D42" i="9"/>
  <c r="D43" i="9" s="1"/>
  <c r="C42" i="9"/>
  <c r="C88" i="9" s="1"/>
  <c r="E41" i="9"/>
  <c r="E42" i="9" s="1"/>
  <c r="E43" i="9" s="1"/>
  <c r="E44" i="9" s="1"/>
  <c r="O34" i="9"/>
  <c r="N34" i="9"/>
  <c r="M34" i="9"/>
  <c r="L34" i="9"/>
  <c r="K34" i="9"/>
  <c r="J34" i="9"/>
  <c r="I34" i="9"/>
  <c r="H34" i="9"/>
  <c r="G34" i="9"/>
  <c r="F34" i="9"/>
  <c r="E34" i="9"/>
  <c r="D34" i="9"/>
  <c r="C34" i="9"/>
  <c r="C80" i="9" s="1"/>
  <c r="T32" i="9"/>
  <c r="S32" i="9"/>
  <c r="R32" i="9"/>
  <c r="Q32" i="9"/>
  <c r="P32" i="9"/>
  <c r="C28" i="9"/>
  <c r="C74" i="9" s="1"/>
  <c r="C26" i="9"/>
  <c r="C72" i="9" s="1"/>
  <c r="O23" i="9"/>
  <c r="N23" i="9"/>
  <c r="M23" i="9"/>
  <c r="L23" i="9"/>
  <c r="K23" i="9"/>
  <c r="J23" i="9"/>
  <c r="I23" i="9"/>
  <c r="H23" i="9"/>
  <c r="G23" i="9"/>
  <c r="F23" i="9"/>
  <c r="E23" i="9"/>
  <c r="D23" i="9"/>
  <c r="C23" i="9"/>
  <c r="C69" i="9" s="1"/>
  <c r="O22" i="9"/>
  <c r="N22" i="9"/>
  <c r="M22" i="9"/>
  <c r="L22" i="9"/>
  <c r="K22" i="9"/>
  <c r="J22" i="9"/>
  <c r="I22" i="9"/>
  <c r="H22" i="9"/>
  <c r="G22" i="9"/>
  <c r="F22" i="9"/>
  <c r="E22" i="9"/>
  <c r="D22" i="9"/>
  <c r="C22" i="9"/>
  <c r="C68" i="9" s="1"/>
  <c r="O21" i="9"/>
  <c r="N21" i="9"/>
  <c r="M21" i="9"/>
  <c r="L21" i="9"/>
  <c r="K21" i="9"/>
  <c r="J21" i="9"/>
  <c r="J26" i="9" s="1"/>
  <c r="I21" i="9"/>
  <c r="I26" i="9" s="1"/>
  <c r="H21" i="9"/>
  <c r="G21" i="9"/>
  <c r="F21" i="9"/>
  <c r="E21" i="9"/>
  <c r="E26" i="9" s="1"/>
  <c r="D21" i="9"/>
  <c r="C21" i="9"/>
  <c r="C67" i="9" s="1"/>
  <c r="C19" i="9"/>
  <c r="C65" i="9" s="1"/>
  <c r="O17" i="9"/>
  <c r="O19" i="9" s="1"/>
  <c r="N17" i="9"/>
  <c r="N19" i="9" s="1"/>
  <c r="M17" i="9"/>
  <c r="L17" i="9"/>
  <c r="L19" i="9" s="1"/>
  <c r="K17" i="9"/>
  <c r="K19" i="9" s="1"/>
  <c r="J17" i="9"/>
  <c r="I17" i="9"/>
  <c r="I19" i="9" s="1"/>
  <c r="H17" i="9"/>
  <c r="H19" i="9" s="1"/>
  <c r="G17" i="9"/>
  <c r="G19" i="9" s="1"/>
  <c r="F17" i="9"/>
  <c r="F19" i="9" s="1"/>
  <c r="E17" i="9"/>
  <c r="E19" i="9" s="1"/>
  <c r="D17" i="9"/>
  <c r="D19" i="9" s="1"/>
  <c r="C17" i="9"/>
  <c r="C63" i="9" s="1"/>
  <c r="E7" i="9"/>
  <c r="F7" i="9" s="1"/>
  <c r="G7" i="9" s="1"/>
  <c r="H7" i="9" s="1"/>
  <c r="I7" i="9" s="1"/>
  <c r="J7" i="9" s="1"/>
  <c r="K7" i="9" s="1"/>
  <c r="L7" i="9" s="1"/>
  <c r="M7" i="9" s="1"/>
  <c r="N7" i="9" s="1"/>
  <c r="O7" i="9" s="1"/>
  <c r="AB77" i="8"/>
  <c r="Y77" i="8"/>
  <c r="X77" i="8"/>
  <c r="W77" i="8"/>
  <c r="V77" i="8"/>
  <c r="AB31" i="8"/>
  <c r="Y31" i="8"/>
  <c r="X31" i="8"/>
  <c r="W31" i="8"/>
  <c r="V31" i="8"/>
  <c r="C100" i="8"/>
  <c r="C95" i="8"/>
  <c r="B95" i="8"/>
  <c r="C94" i="8"/>
  <c r="C93" i="8"/>
  <c r="B93" i="8"/>
  <c r="B90" i="8"/>
  <c r="B88" i="8"/>
  <c r="B87" i="8"/>
  <c r="B86" i="8"/>
  <c r="C83" i="8"/>
  <c r="B83" i="8"/>
  <c r="C82" i="8"/>
  <c r="B82" i="8"/>
  <c r="C81" i="8"/>
  <c r="B81" i="8"/>
  <c r="W79" i="8"/>
  <c r="B79" i="8"/>
  <c r="Y79" i="8"/>
  <c r="C78" i="8"/>
  <c r="B78" i="8"/>
  <c r="C77" i="8"/>
  <c r="B77" i="8"/>
  <c r="B76" i="8"/>
  <c r="B73" i="8"/>
  <c r="B71" i="8"/>
  <c r="B68" i="8"/>
  <c r="B67" i="8"/>
  <c r="B66" i="8"/>
  <c r="B64" i="8"/>
  <c r="C63" i="8"/>
  <c r="B63" i="8"/>
  <c r="V62" i="8"/>
  <c r="B62" i="8"/>
  <c r="B61" i="8"/>
  <c r="C52" i="8"/>
  <c r="C98" i="8" s="1"/>
  <c r="C46" i="8"/>
  <c r="C92" i="8" s="1"/>
  <c r="C44" i="8"/>
  <c r="C90" i="8" s="1"/>
  <c r="C42" i="8"/>
  <c r="C88" i="8" s="1"/>
  <c r="C41" i="8"/>
  <c r="C87" i="8" s="1"/>
  <c r="C33" i="8"/>
  <c r="C79" i="8" s="1"/>
  <c r="Y33" i="8"/>
  <c r="V33" i="8"/>
  <c r="C27" i="8"/>
  <c r="C73" i="8" s="1"/>
  <c r="C25" i="8"/>
  <c r="C71" i="8" s="1"/>
  <c r="C22" i="8"/>
  <c r="C68" i="8" s="1"/>
  <c r="C21" i="8"/>
  <c r="C67" i="8" s="1"/>
  <c r="C20" i="8"/>
  <c r="C66" i="8" s="1"/>
  <c r="C18" i="8"/>
  <c r="C64" i="8" s="1"/>
  <c r="V16" i="8"/>
  <c r="C16" i="8"/>
  <c r="C62" i="8" s="1"/>
  <c r="E6" i="8"/>
  <c r="F6" i="8" s="1"/>
  <c r="G6" i="8" s="1"/>
  <c r="H6" i="8" s="1"/>
  <c r="I6" i="8" s="1"/>
  <c r="J6" i="8" s="1"/>
  <c r="K6" i="8" s="1"/>
  <c r="L6" i="8" s="1"/>
  <c r="M6" i="8" s="1"/>
  <c r="N6" i="8" s="1"/>
  <c r="O6" i="8" s="1"/>
  <c r="P6" i="8" s="1"/>
  <c r="Q6" i="8" s="1"/>
  <c r="R6" i="8" s="1"/>
  <c r="S6" i="8" s="1"/>
  <c r="T6" i="8" s="1"/>
  <c r="U6" i="8" s="1"/>
  <c r="F87" i="9" l="1"/>
  <c r="E27" i="9"/>
  <c r="F26" i="9"/>
  <c r="F27" i="9" s="1"/>
  <c r="N26" i="9"/>
  <c r="N27" i="9" s="1"/>
  <c r="F72" i="9"/>
  <c r="F73" i="9" s="1"/>
  <c r="N72" i="9"/>
  <c r="N73" i="9" s="1"/>
  <c r="I73" i="9"/>
  <c r="T80" i="9"/>
  <c r="T79" i="9" s="1"/>
  <c r="I27" i="9"/>
  <c r="K74" i="9"/>
  <c r="S80" i="9"/>
  <c r="S79" i="9" s="1"/>
  <c r="J27" i="9"/>
  <c r="M26" i="9"/>
  <c r="J73" i="9"/>
  <c r="F28" i="9"/>
  <c r="R17" i="9"/>
  <c r="J74" i="9"/>
  <c r="G73" i="9"/>
  <c r="E91" i="9"/>
  <c r="Q19" i="9"/>
  <c r="D26" i="9"/>
  <c r="D28" i="9" s="1"/>
  <c r="L26" i="9"/>
  <c r="L27" i="9" s="1"/>
  <c r="G26" i="9"/>
  <c r="O26" i="9"/>
  <c r="O27" i="9" s="1"/>
  <c r="T17" i="9"/>
  <c r="F41" i="9"/>
  <c r="F42" i="9" s="1"/>
  <c r="F43" i="9" s="1"/>
  <c r="F44" i="9" s="1"/>
  <c r="E28" i="9"/>
  <c r="S17" i="9"/>
  <c r="J19" i="9"/>
  <c r="J28" i="9" s="1"/>
  <c r="J48" i="9" s="1"/>
  <c r="R34" i="9"/>
  <c r="R33" i="9" s="1"/>
  <c r="Q80" i="9"/>
  <c r="Q79" i="9" s="1"/>
  <c r="N28" i="9"/>
  <c r="H26" i="9"/>
  <c r="H27" i="9" s="1"/>
  <c r="K26" i="9"/>
  <c r="K27" i="9" s="1"/>
  <c r="T34" i="9"/>
  <c r="T33" i="9" s="1"/>
  <c r="D72" i="9"/>
  <c r="D73" i="9" s="1"/>
  <c r="L72" i="9"/>
  <c r="R72" i="9" s="1"/>
  <c r="R80" i="9"/>
  <c r="R79" i="9" s="1"/>
  <c r="E73" i="9"/>
  <c r="I28" i="9"/>
  <c r="S34" i="9"/>
  <c r="S33" i="9" s="1"/>
  <c r="Y62" i="8"/>
  <c r="Y78" i="8"/>
  <c r="X79" i="8"/>
  <c r="X78" i="8" s="1"/>
  <c r="X62" i="8"/>
  <c r="W33" i="8"/>
  <c r="W32" i="8" s="1"/>
  <c r="AB33" i="8"/>
  <c r="AB32" i="8" s="1"/>
  <c r="G27" i="9"/>
  <c r="K94" i="9"/>
  <c r="N48" i="9"/>
  <c r="E48" i="9"/>
  <c r="I48" i="9"/>
  <c r="O28" i="9"/>
  <c r="F45" i="9"/>
  <c r="F47" i="9" s="1"/>
  <c r="D74" i="9"/>
  <c r="P65" i="9"/>
  <c r="F48" i="9"/>
  <c r="K28" i="9"/>
  <c r="S26" i="9"/>
  <c r="S27" i="9" s="1"/>
  <c r="E74" i="9"/>
  <c r="J94" i="9"/>
  <c r="O73" i="9"/>
  <c r="O74" i="9"/>
  <c r="H28" i="9"/>
  <c r="Q17" i="9"/>
  <c r="Q18" i="9" s="1"/>
  <c r="P43" i="9"/>
  <c r="P44" i="9" s="1"/>
  <c r="G28" i="9"/>
  <c r="G41" i="9"/>
  <c r="P63" i="9"/>
  <c r="G74" i="9"/>
  <c r="P17" i="9"/>
  <c r="M19" i="9"/>
  <c r="E45" i="9"/>
  <c r="E47" i="9" s="1"/>
  <c r="Q34" i="9"/>
  <c r="Q33" i="9" s="1"/>
  <c r="R63" i="9"/>
  <c r="N74" i="9"/>
  <c r="T63" i="9"/>
  <c r="Q65" i="9"/>
  <c r="D90" i="9"/>
  <c r="D91" i="9"/>
  <c r="H94" i="9"/>
  <c r="D45" i="9"/>
  <c r="F74" i="9"/>
  <c r="R26" i="9"/>
  <c r="R27" i="9" s="1"/>
  <c r="M27" i="9"/>
  <c r="R65" i="9"/>
  <c r="P19" i="9"/>
  <c r="P34" i="9"/>
  <c r="P33" i="9" s="1"/>
  <c r="D44" i="9"/>
  <c r="I74" i="9"/>
  <c r="M65" i="9"/>
  <c r="S63" i="9"/>
  <c r="Q63" i="9"/>
  <c r="M72" i="9"/>
  <c r="Q72" i="9"/>
  <c r="H73" i="9"/>
  <c r="P80" i="9"/>
  <c r="P79" i="9" s="1"/>
  <c r="P72" i="9"/>
  <c r="W18" i="8"/>
  <c r="X33" i="8"/>
  <c r="X32" i="8" s="1"/>
  <c r="AB62" i="8"/>
  <c r="X16" i="8"/>
  <c r="W62" i="8"/>
  <c r="W16" i="8"/>
  <c r="Y32" i="8"/>
  <c r="V32" i="8"/>
  <c r="W78" i="8"/>
  <c r="V79" i="8"/>
  <c r="V78" i="8" s="1"/>
  <c r="AB75" i="6"/>
  <c r="Y75" i="6"/>
  <c r="X75" i="6"/>
  <c r="W75" i="6"/>
  <c r="V75" i="6"/>
  <c r="AB30" i="6"/>
  <c r="Y30" i="6"/>
  <c r="X30" i="6"/>
  <c r="W30" i="6"/>
  <c r="Q26" i="9" l="1"/>
  <c r="Q27" i="9" s="1"/>
  <c r="R73" i="9"/>
  <c r="G87" i="9"/>
  <c r="F88" i="9"/>
  <c r="F89" i="9" s="1"/>
  <c r="P26" i="9"/>
  <c r="T26" i="9"/>
  <c r="T27" i="9" s="1"/>
  <c r="D27" i="9"/>
  <c r="L74" i="9"/>
  <c r="L73" i="9"/>
  <c r="T19" i="9"/>
  <c r="T18" i="9" s="1"/>
  <c r="R19" i="9"/>
  <c r="R18" i="9" s="1"/>
  <c r="T72" i="9"/>
  <c r="T73" i="9" s="1"/>
  <c r="P18" i="9"/>
  <c r="L28" i="9"/>
  <c r="L48" i="9" s="1"/>
  <c r="Y25" i="8"/>
  <c r="Y26" i="8" s="1"/>
  <c r="X25" i="8"/>
  <c r="X26" i="8" s="1"/>
  <c r="S65" i="9"/>
  <c r="S64" i="9" s="1"/>
  <c r="M74" i="9"/>
  <c r="S19" i="9"/>
  <c r="S18" i="9" s="1"/>
  <c r="M28" i="9"/>
  <c r="H48" i="9"/>
  <c r="O94" i="9"/>
  <c r="P74" i="9"/>
  <c r="D94" i="9"/>
  <c r="D93" i="9"/>
  <c r="I94" i="9"/>
  <c r="N94" i="9"/>
  <c r="E93" i="9"/>
  <c r="E94" i="9"/>
  <c r="K48" i="9"/>
  <c r="R48" i="9" s="1"/>
  <c r="Q73" i="9"/>
  <c r="R64" i="9"/>
  <c r="P45" i="9"/>
  <c r="Q64" i="9"/>
  <c r="G48" i="9"/>
  <c r="Q48" i="9" s="1"/>
  <c r="Q28" i="9"/>
  <c r="T65" i="9"/>
  <c r="T64" i="9" s="1"/>
  <c r="P27" i="9"/>
  <c r="M73" i="9"/>
  <c r="S72" i="9"/>
  <c r="S73" i="9" s="1"/>
  <c r="P73" i="9"/>
  <c r="F94" i="9"/>
  <c r="G94" i="9"/>
  <c r="Q74" i="9"/>
  <c r="G42" i="9"/>
  <c r="G43" i="9" s="1"/>
  <c r="H41" i="9"/>
  <c r="P64" i="9"/>
  <c r="O48" i="9"/>
  <c r="D47" i="9"/>
  <c r="T28" i="9"/>
  <c r="P28" i="9"/>
  <c r="D48" i="9"/>
  <c r="AB18" i="8"/>
  <c r="AB17" i="8" s="1"/>
  <c r="V18" i="8"/>
  <c r="V17" i="8" s="1"/>
  <c r="Y71" i="8"/>
  <c r="Y72" i="8" s="1"/>
  <c r="W25" i="8"/>
  <c r="W26" i="8" s="1"/>
  <c r="AB64" i="8"/>
  <c r="AB63" i="8" s="1"/>
  <c r="V64" i="8"/>
  <c r="V63" i="8" s="1"/>
  <c r="AB79" i="8"/>
  <c r="AB78" i="8" s="1"/>
  <c r="X64" i="8"/>
  <c r="X63" i="8" s="1"/>
  <c r="V90" i="8"/>
  <c r="AB25" i="8"/>
  <c r="AB26" i="8" s="1"/>
  <c r="V25" i="8"/>
  <c r="V26" i="8" s="1"/>
  <c r="W64" i="8"/>
  <c r="W63" i="8" s="1"/>
  <c r="V43" i="8"/>
  <c r="W17" i="8"/>
  <c r="W71" i="8"/>
  <c r="W72" i="8" s="1"/>
  <c r="Y64" i="8"/>
  <c r="Y63" i="8" s="1"/>
  <c r="AB71" i="8"/>
  <c r="AB72" i="8" s="1"/>
  <c r="V71" i="8"/>
  <c r="V72" i="8" s="1"/>
  <c r="X18" i="8"/>
  <c r="X17" i="8" s="1"/>
  <c r="X71" i="8"/>
  <c r="X72" i="8" s="1"/>
  <c r="V16" i="6"/>
  <c r="V17" i="6" s="1"/>
  <c r="C98" i="6"/>
  <c r="C93" i="6"/>
  <c r="B93" i="6"/>
  <c r="C92" i="6"/>
  <c r="C91" i="6"/>
  <c r="B91" i="6"/>
  <c r="B88" i="6"/>
  <c r="B86" i="6"/>
  <c r="B85" i="6"/>
  <c r="B84" i="6"/>
  <c r="B83" i="6"/>
  <c r="C82" i="6"/>
  <c r="B82" i="6"/>
  <c r="C81" i="6"/>
  <c r="B81" i="6"/>
  <c r="C80" i="6"/>
  <c r="B80" i="6"/>
  <c r="C79" i="6"/>
  <c r="B79" i="6"/>
  <c r="B77" i="6"/>
  <c r="C76" i="6"/>
  <c r="B76" i="6"/>
  <c r="C75" i="6"/>
  <c r="B75" i="6"/>
  <c r="B74" i="6"/>
  <c r="B72" i="6"/>
  <c r="B70" i="6"/>
  <c r="B69" i="6"/>
  <c r="C68" i="6"/>
  <c r="B68" i="6"/>
  <c r="B67" i="6"/>
  <c r="B66" i="6"/>
  <c r="B65" i="6"/>
  <c r="B63" i="6"/>
  <c r="C62" i="6"/>
  <c r="B62" i="6"/>
  <c r="B61" i="6"/>
  <c r="B60" i="6"/>
  <c r="C51" i="6"/>
  <c r="C96" i="6" s="1"/>
  <c r="C45" i="6"/>
  <c r="C90" i="6" s="1"/>
  <c r="C43" i="6"/>
  <c r="C88" i="6" s="1"/>
  <c r="C41" i="6"/>
  <c r="C86" i="6" s="1"/>
  <c r="C40" i="6"/>
  <c r="C85" i="6" s="1"/>
  <c r="C38" i="6"/>
  <c r="C83" i="6" s="1"/>
  <c r="C32" i="6"/>
  <c r="C77" i="6" s="1"/>
  <c r="C27" i="6"/>
  <c r="C72" i="6" s="1"/>
  <c r="C25" i="6"/>
  <c r="C70" i="6" s="1"/>
  <c r="C24" i="6"/>
  <c r="C69" i="6" s="1"/>
  <c r="C22" i="6"/>
  <c r="C67" i="6" s="1"/>
  <c r="C21" i="6"/>
  <c r="C66" i="6" s="1"/>
  <c r="C20" i="6"/>
  <c r="C65" i="6" s="1"/>
  <c r="C18" i="6"/>
  <c r="C63" i="6" s="1"/>
  <c r="C16" i="6"/>
  <c r="C61" i="6" s="1"/>
  <c r="F6" i="6"/>
  <c r="G6" i="6" s="1"/>
  <c r="H6" i="6" s="1"/>
  <c r="I6" i="6" s="1"/>
  <c r="J6" i="6" s="1"/>
  <c r="K6" i="6" s="1"/>
  <c r="L6" i="6" s="1"/>
  <c r="M6" i="6" s="1"/>
  <c r="N6" i="6" s="1"/>
  <c r="O6" i="6" s="1"/>
  <c r="P6" i="6" s="1"/>
  <c r="Q6" i="6" s="1"/>
  <c r="R6" i="6" s="1"/>
  <c r="S6" i="6" s="1"/>
  <c r="T6" i="6" s="1"/>
  <c r="U6" i="6" s="1"/>
  <c r="F90" i="9" l="1"/>
  <c r="F91" i="9"/>
  <c r="P89" i="9"/>
  <c r="P90" i="9" s="1"/>
  <c r="G88" i="9"/>
  <c r="G89" i="9" s="1"/>
  <c r="H87" i="9"/>
  <c r="R28" i="9"/>
  <c r="Q94" i="9"/>
  <c r="L94" i="9"/>
  <c r="R94" i="9" s="1"/>
  <c r="R74" i="9"/>
  <c r="Y61" i="6"/>
  <c r="Y18" i="6"/>
  <c r="Y17" i="6" s="1"/>
  <c r="X18" i="6"/>
  <c r="X17" i="6" s="1"/>
  <c r="Y32" i="6"/>
  <c r="Y31" i="6" s="1"/>
  <c r="Y77" i="6"/>
  <c r="Y76" i="6" s="1"/>
  <c r="X32" i="6"/>
  <c r="X31" i="6" s="1"/>
  <c r="V63" i="6"/>
  <c r="X61" i="6"/>
  <c r="X77" i="6"/>
  <c r="X76" i="6" s="1"/>
  <c r="AB61" i="6"/>
  <c r="W61" i="6"/>
  <c r="W18" i="6"/>
  <c r="W17" i="6" s="1"/>
  <c r="W32" i="6"/>
  <c r="AB32" i="6"/>
  <c r="AB31" i="6" s="1"/>
  <c r="P94" i="9"/>
  <c r="P48" i="9"/>
  <c r="G44" i="9"/>
  <c r="G45" i="9"/>
  <c r="S74" i="9"/>
  <c r="M94" i="9"/>
  <c r="S94" i="9" s="1"/>
  <c r="T74" i="9"/>
  <c r="D50" i="9"/>
  <c r="P47" i="9"/>
  <c r="H42" i="9"/>
  <c r="H43" i="9" s="1"/>
  <c r="I41" i="9"/>
  <c r="D96" i="9"/>
  <c r="D97" i="9" s="1"/>
  <c r="M48" i="9"/>
  <c r="S48" i="9" s="1"/>
  <c r="S28" i="9"/>
  <c r="AB27" i="8"/>
  <c r="V27" i="8"/>
  <c r="W47" i="8"/>
  <c r="W27" i="8"/>
  <c r="Y47" i="8"/>
  <c r="Y27" i="8"/>
  <c r="V44" i="8"/>
  <c r="Y93" i="8"/>
  <c r="Y73" i="8"/>
  <c r="X27" i="8"/>
  <c r="X47" i="8"/>
  <c r="V88" i="8"/>
  <c r="V89" i="8" s="1"/>
  <c r="W73" i="8"/>
  <c r="W93" i="8"/>
  <c r="V73" i="8"/>
  <c r="AB73" i="8"/>
  <c r="X73" i="8"/>
  <c r="X93" i="8"/>
  <c r="W42" i="8"/>
  <c r="W43" i="8" s="1"/>
  <c r="AB77" i="6"/>
  <c r="H88" i="9" l="1"/>
  <c r="H89" i="9" s="1"/>
  <c r="I87" i="9"/>
  <c r="G91" i="9"/>
  <c r="G93" i="9" s="1"/>
  <c r="G90" i="9"/>
  <c r="D99" i="9"/>
  <c r="F93" i="9"/>
  <c r="P93" i="9" s="1"/>
  <c r="P91" i="9"/>
  <c r="T48" i="9"/>
  <c r="AB18" i="6"/>
  <c r="AB17" i="6" s="1"/>
  <c r="V76" i="6"/>
  <c r="V62" i="6"/>
  <c r="Y63" i="6"/>
  <c r="Y62" i="6" s="1"/>
  <c r="X63" i="6"/>
  <c r="X62" i="6" s="1"/>
  <c r="W76" i="6"/>
  <c r="AB76" i="6"/>
  <c r="W63" i="6"/>
  <c r="W62" i="6" s="1"/>
  <c r="AB63" i="6"/>
  <c r="AB62" i="6" s="1"/>
  <c r="W31" i="6"/>
  <c r="I42" i="9"/>
  <c r="I43" i="9" s="1"/>
  <c r="J41" i="9"/>
  <c r="G47" i="9"/>
  <c r="H44" i="9"/>
  <c r="H45" i="9"/>
  <c r="H47" i="9" s="1"/>
  <c r="D53" i="9"/>
  <c r="D51" i="9"/>
  <c r="Q43" i="9"/>
  <c r="Q44" i="9" s="1"/>
  <c r="E99" i="9"/>
  <c r="E96" i="9"/>
  <c r="E97" i="9" s="1"/>
  <c r="T94" i="9"/>
  <c r="V92" i="8"/>
  <c r="V96" i="8" s="1"/>
  <c r="V46" i="8"/>
  <c r="AB47" i="8"/>
  <c r="V47" i="8"/>
  <c r="W44" i="8"/>
  <c r="V25" i="6"/>
  <c r="V26" i="6" s="1"/>
  <c r="V42" i="6"/>
  <c r="I88" i="9" l="1"/>
  <c r="I89" i="9" s="1"/>
  <c r="J87" i="9"/>
  <c r="H90" i="9"/>
  <c r="H91" i="9"/>
  <c r="V50" i="8"/>
  <c r="V70" i="6"/>
  <c r="V71" i="6" s="1"/>
  <c r="V91" i="6"/>
  <c r="V87" i="6"/>
  <c r="F96" i="9"/>
  <c r="D101" i="9"/>
  <c r="E50" i="9"/>
  <c r="E53" i="9" s="1"/>
  <c r="K41" i="9"/>
  <c r="J42" i="9"/>
  <c r="J43" i="9" s="1"/>
  <c r="I44" i="9"/>
  <c r="I45" i="9"/>
  <c r="Q45" i="9" s="1"/>
  <c r="V27" i="6"/>
  <c r="I91" i="9" l="1"/>
  <c r="I93" i="9" s="1"/>
  <c r="I90" i="9"/>
  <c r="Q89" i="9"/>
  <c r="Q90" i="9" s="1"/>
  <c r="H93" i="9"/>
  <c r="K87" i="9"/>
  <c r="J88" i="9"/>
  <c r="J89" i="9" s="1"/>
  <c r="V88" i="6"/>
  <c r="V72" i="6"/>
  <c r="J44" i="9"/>
  <c r="J45" i="9"/>
  <c r="F97" i="9"/>
  <c r="P96" i="9"/>
  <c r="P97" i="9" s="1"/>
  <c r="K42" i="9"/>
  <c r="K43" i="9" s="1"/>
  <c r="L41" i="9"/>
  <c r="E101" i="9"/>
  <c r="F50" i="9"/>
  <c r="F51" i="9" s="1"/>
  <c r="E51" i="9"/>
  <c r="I47" i="9"/>
  <c r="F99" i="9"/>
  <c r="W46" i="8"/>
  <c r="W88" i="8"/>
  <c r="W89" i="8" s="1"/>
  <c r="X42" i="8"/>
  <c r="X43" i="8" s="1"/>
  <c r="V46" i="6"/>
  <c r="V45" i="6"/>
  <c r="L87" i="9" l="1"/>
  <c r="K88" i="9"/>
  <c r="K89" i="9" s="1"/>
  <c r="J91" i="9"/>
  <c r="J93" i="9" s="1"/>
  <c r="J90" i="9"/>
  <c r="Q91" i="9"/>
  <c r="Q93" i="9"/>
  <c r="P50" i="9"/>
  <c r="P51" i="9" s="1"/>
  <c r="F53" i="9"/>
  <c r="F101" i="9" s="1"/>
  <c r="V49" i="6"/>
  <c r="V90" i="6"/>
  <c r="V94" i="6" s="1"/>
  <c r="J47" i="9"/>
  <c r="L42" i="9"/>
  <c r="L43" i="9" s="1"/>
  <c r="M41" i="9"/>
  <c r="G96" i="9"/>
  <c r="K44" i="9"/>
  <c r="K45" i="9"/>
  <c r="K47" i="9" s="1"/>
  <c r="Q47" i="9"/>
  <c r="W90" i="8"/>
  <c r="W70" i="6"/>
  <c r="W71" i="6" s="1"/>
  <c r="W25" i="6"/>
  <c r="W26" i="6" s="1"/>
  <c r="G50" i="9" l="1"/>
  <c r="G51" i="9" s="1"/>
  <c r="L88" i="9"/>
  <c r="L89" i="9" s="1"/>
  <c r="M87" i="9"/>
  <c r="K90" i="9"/>
  <c r="K91" i="9"/>
  <c r="W86" i="6"/>
  <c r="W87" i="6" s="1"/>
  <c r="W41" i="6"/>
  <c r="W42" i="6" s="1"/>
  <c r="L44" i="9"/>
  <c r="L45" i="9"/>
  <c r="R43" i="9"/>
  <c r="R44" i="9" s="1"/>
  <c r="G97" i="9"/>
  <c r="G99" i="9"/>
  <c r="R45" i="9"/>
  <c r="M42" i="9"/>
  <c r="M43" i="9" s="1"/>
  <c r="N41" i="9"/>
  <c r="X44" i="8"/>
  <c r="X88" i="8"/>
  <c r="X89" i="8" s="1"/>
  <c r="W92" i="8"/>
  <c r="AB42" i="8"/>
  <c r="AB43" i="8" s="1"/>
  <c r="W88" i="6"/>
  <c r="G53" i="9" l="1"/>
  <c r="H50" i="9" s="1"/>
  <c r="K93" i="9"/>
  <c r="M88" i="9"/>
  <c r="M89" i="9" s="1"/>
  <c r="N87" i="9"/>
  <c r="L90" i="9"/>
  <c r="L91" i="9"/>
  <c r="L93" i="9" s="1"/>
  <c r="R89" i="9"/>
  <c r="R90" i="9" s="1"/>
  <c r="Y42" i="8"/>
  <c r="Y43" i="8" s="1"/>
  <c r="W72" i="6"/>
  <c r="W91" i="6"/>
  <c r="W43" i="6"/>
  <c r="W27" i="6"/>
  <c r="N42" i="9"/>
  <c r="N43" i="9" s="1"/>
  <c r="O41" i="9"/>
  <c r="O42" i="9" s="1"/>
  <c r="O43" i="9" s="1"/>
  <c r="M44" i="9"/>
  <c r="M45" i="9"/>
  <c r="L47" i="9"/>
  <c r="H96" i="9"/>
  <c r="X92" i="8"/>
  <c r="X96" i="8" s="1"/>
  <c r="X46" i="8"/>
  <c r="W90" i="6"/>
  <c r="W45" i="6"/>
  <c r="S43" i="9" l="1"/>
  <c r="S44" i="9" s="1"/>
  <c r="M91" i="9"/>
  <c r="M90" i="9"/>
  <c r="N88" i="9"/>
  <c r="N89" i="9" s="1"/>
  <c r="T89" i="9" s="1"/>
  <c r="T90" i="9" s="1"/>
  <c r="O87" i="9"/>
  <c r="O88" i="9" s="1"/>
  <c r="O89" i="9" s="1"/>
  <c r="G101" i="9"/>
  <c r="R91" i="9"/>
  <c r="R93" i="9"/>
  <c r="X90" i="8"/>
  <c r="W46" i="6"/>
  <c r="H97" i="9"/>
  <c r="R47" i="9"/>
  <c r="H51" i="9"/>
  <c r="O44" i="9"/>
  <c r="O45" i="9"/>
  <c r="T43" i="9"/>
  <c r="T44" i="9" s="1"/>
  <c r="H99" i="9"/>
  <c r="H53" i="9"/>
  <c r="M47" i="9"/>
  <c r="N44" i="9"/>
  <c r="N45" i="9"/>
  <c r="N47" i="9" s="1"/>
  <c r="AB46" i="8"/>
  <c r="Y44" i="8"/>
  <c r="AB44" i="8"/>
  <c r="X86" i="6"/>
  <c r="X87" i="6" s="1"/>
  <c r="X25" i="6"/>
  <c r="X26" i="6" s="1"/>
  <c r="O90" i="9" l="1"/>
  <c r="O91" i="9"/>
  <c r="O93" i="9" s="1"/>
  <c r="N90" i="9"/>
  <c r="N91" i="9"/>
  <c r="N93" i="9" s="1"/>
  <c r="M93" i="9"/>
  <c r="S91" i="9"/>
  <c r="S89" i="9"/>
  <c r="S90" i="9" s="1"/>
  <c r="T91" i="9"/>
  <c r="S45" i="9"/>
  <c r="X41" i="6"/>
  <c r="X42" i="6" s="1"/>
  <c r="X70" i="6"/>
  <c r="X71" i="6" s="1"/>
  <c r="O47" i="9"/>
  <c r="T45" i="9"/>
  <c r="H101" i="9"/>
  <c r="I50" i="9"/>
  <c r="I96" i="9"/>
  <c r="Y88" i="8"/>
  <c r="Y89" i="8" s="1"/>
  <c r="AB88" i="8"/>
  <c r="W49" i="8"/>
  <c r="W50" i="8" s="1"/>
  <c r="X27" i="6"/>
  <c r="X88" i="6"/>
  <c r="T93" i="9" l="1"/>
  <c r="S93" i="9"/>
  <c r="X91" i="6"/>
  <c r="X72" i="6"/>
  <c r="X43" i="6"/>
  <c r="I51" i="9"/>
  <c r="Q50" i="9"/>
  <c r="Q51" i="9" s="1"/>
  <c r="T47" i="9"/>
  <c r="I97" i="9"/>
  <c r="Q96" i="9"/>
  <c r="Q97" i="9" s="1"/>
  <c r="S47" i="9"/>
  <c r="I99" i="9"/>
  <c r="I53" i="9"/>
  <c r="AB92" i="8"/>
  <c r="AB96" i="8" s="1"/>
  <c r="AB90" i="8"/>
  <c r="Y90" i="8"/>
  <c r="Y41" i="6"/>
  <c r="Y42" i="6" s="1"/>
  <c r="X45" i="6"/>
  <c r="X46" i="6"/>
  <c r="AB41" i="6" l="1"/>
  <c r="AB42" i="6" s="1"/>
  <c r="X90" i="6"/>
  <c r="W48" i="6"/>
  <c r="W49" i="6" s="1"/>
  <c r="J50" i="9"/>
  <c r="I101" i="9"/>
  <c r="J96" i="9"/>
  <c r="J99" i="9"/>
  <c r="W96" i="8"/>
  <c r="Y92" i="8"/>
  <c r="Y96" i="8" s="1"/>
  <c r="AB70" i="6"/>
  <c r="AB71" i="6" s="1"/>
  <c r="Y87" i="6"/>
  <c r="AB25" i="6"/>
  <c r="AB26" i="6" s="1"/>
  <c r="AB43" i="6"/>
  <c r="Y70" i="6" l="1"/>
  <c r="Y71" i="6" s="1"/>
  <c r="Y43" i="6"/>
  <c r="AB87" i="6"/>
  <c r="Y25" i="6"/>
  <c r="Y26" i="6" s="1"/>
  <c r="J51" i="9"/>
  <c r="K96" i="9"/>
  <c r="K97" i="9" s="1"/>
  <c r="J53" i="9"/>
  <c r="J97" i="9"/>
  <c r="X49" i="8"/>
  <c r="X50" i="8" s="1"/>
  <c r="AB91" i="6"/>
  <c r="Y46" i="6" l="1"/>
  <c r="Y91" i="6"/>
  <c r="AB72" i="6"/>
  <c r="Y72" i="6"/>
  <c r="AB88" i="6"/>
  <c r="Y88" i="6"/>
  <c r="Y27" i="6"/>
  <c r="J101" i="9"/>
  <c r="K50" i="9"/>
  <c r="K53" i="9" s="1"/>
  <c r="K99" i="9"/>
  <c r="Y45" i="6" l="1"/>
  <c r="Y48" i="6"/>
  <c r="AB46" i="6"/>
  <c r="AB90" i="6"/>
  <c r="Y90" i="6"/>
  <c r="AB45" i="6"/>
  <c r="K101" i="9"/>
  <c r="L50" i="9"/>
  <c r="L51" i="9" s="1"/>
  <c r="L96" i="9"/>
  <c r="L99" i="9"/>
  <c r="K51" i="9"/>
  <c r="Y49" i="6" l="1"/>
  <c r="R50" i="9"/>
  <c r="R51" i="9" s="1"/>
  <c r="W93" i="6"/>
  <c r="W94" i="6" s="1"/>
  <c r="L53" i="9"/>
  <c r="M96" i="9"/>
  <c r="L97" i="9"/>
  <c r="R96" i="9"/>
  <c r="R97" i="9" s="1"/>
  <c r="M97" i="9" l="1"/>
  <c r="M99" i="9"/>
  <c r="L101" i="9"/>
  <c r="M50" i="9"/>
  <c r="M53" i="9" s="1"/>
  <c r="AB49" i="8"/>
  <c r="AB50" i="8" s="1"/>
  <c r="Y50" i="8"/>
  <c r="X48" i="6" l="1"/>
  <c r="X49" i="6" s="1"/>
  <c r="N96" i="9"/>
  <c r="N50" i="9"/>
  <c r="N51" i="9" s="1"/>
  <c r="M101" i="9"/>
  <c r="M51" i="9"/>
  <c r="N53" i="9" l="1"/>
  <c r="O50" i="9" s="1"/>
  <c r="N97" i="9"/>
  <c r="N99" i="9"/>
  <c r="O51" i="9" l="1"/>
  <c r="T50" i="9"/>
  <c r="T51" i="9" s="1"/>
  <c r="S50" i="9"/>
  <c r="S51" i="9" s="1"/>
  <c r="O96" i="9"/>
  <c r="O99" i="9" s="1"/>
  <c r="O53" i="9"/>
  <c r="N101" i="9"/>
  <c r="O101" i="9" l="1"/>
  <c r="X93" i="6"/>
  <c r="X94" i="6" s="1"/>
  <c r="AB48" i="6"/>
  <c r="AB49" i="6" s="1"/>
  <c r="O97" i="9"/>
  <c r="T96" i="9"/>
  <c r="T97" i="9" s="1"/>
  <c r="S96" i="9"/>
  <c r="S97" i="9" s="1"/>
  <c r="AB93" i="6" l="1"/>
  <c r="AB94" i="6" s="1"/>
  <c r="Y93" i="6"/>
  <c r="Y94" i="6" s="1"/>
</calcChain>
</file>

<file path=xl/sharedStrings.xml><?xml version="1.0" encoding="utf-8"?>
<sst xmlns="http://schemas.openxmlformats.org/spreadsheetml/2006/main" count="696" uniqueCount="168">
  <si>
    <t>Avista Utilities</t>
  </si>
  <si>
    <t>Line No.</t>
  </si>
  <si>
    <t>Source</t>
  </si>
  <si>
    <t>Total</t>
  </si>
  <si>
    <t>(a)</t>
  </si>
  <si>
    <t>(b)</t>
  </si>
  <si>
    <t>(c)</t>
  </si>
  <si>
    <t>(d)</t>
  </si>
  <si>
    <t>(e)</t>
  </si>
  <si>
    <t>(f)</t>
  </si>
  <si>
    <t>(g)</t>
  </si>
  <si>
    <t>(h)</t>
  </si>
  <si>
    <t>(i)</t>
  </si>
  <si>
    <t>(j)</t>
  </si>
  <si>
    <t>(k)</t>
  </si>
  <si>
    <t>(l)</t>
  </si>
  <si>
    <t>(m)</t>
  </si>
  <si>
    <t>(n)</t>
  </si>
  <si>
    <t>(o)</t>
  </si>
  <si>
    <t>Residential Group</t>
  </si>
  <si>
    <t>Actual Fixed Charge Revenue</t>
  </si>
  <si>
    <t>Residential Revenue Per Customer Received</t>
  </si>
  <si>
    <t>Deferral - Revenue Related Expenses</t>
  </si>
  <si>
    <t>Rev Conv Factor</t>
  </si>
  <si>
    <t>Interest on Deferral</t>
  </si>
  <si>
    <t>Monthly Residential Deferral Totals</t>
  </si>
  <si>
    <t>Non-Residential Group</t>
  </si>
  <si>
    <t>Non-Residential Revenue Per Customer Received</t>
  </si>
  <si>
    <t>Avg Balance Calc</t>
  </si>
  <si>
    <t>Monthly Non-Residential Deferral Totals</t>
  </si>
  <si>
    <t>Actual Base Rate Revenue</t>
  </si>
  <si>
    <t>Balance Sheet Accounts</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</si>
  <si>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</si>
  <si>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</si>
  <si>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</si>
  <si>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</si>
  <si>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</si>
  <si>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</si>
  <si>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</si>
  <si>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</si>
  <si>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</si>
  <si>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</si>
  <si>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</si>
  <si>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</si>
  <si>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</si>
  <si>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283328</t>
  </si>
  <si>
    <t>ADFIT DECOUPLING DEFERRED REV</t>
  </si>
  <si>
    <t>Income Statement Accounts</t>
  </si>
  <si>
    <t>Check</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</si>
  <si>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</si>
  <si>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</si>
  <si>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</si>
  <si>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</si>
  <si>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</si>
  <si>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</si>
  <si>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</si>
  <si>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</si>
  <si>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</si>
  <si>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</si>
  <si>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</si>
  <si>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</si>
  <si>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</si>
  <si>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</si>
  <si>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</si>
  <si>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Deferral per Average Customer</t>
  </si>
  <si>
    <t>Q3</t>
  </si>
  <si>
    <t>Q4</t>
  </si>
  <si>
    <t>2016 YTD</t>
  </si>
  <si>
    <t>2nd Quarter 2016</t>
  </si>
  <si>
    <t>3rd Quarter 2016</t>
  </si>
  <si>
    <t>4th Quarter 2016</t>
  </si>
  <si>
    <t>1st Quarter 2016</t>
  </si>
  <si>
    <t>Electric Fixed Cost Adjustment Mechanism (Idaho)</t>
  </si>
  <si>
    <t>Revised</t>
  </si>
  <si>
    <t>Total Actual Billed Customers</t>
  </si>
  <si>
    <t>Revenue Reports</t>
  </si>
  <si>
    <t>Total Actual Usage (kWhs)</t>
  </si>
  <si>
    <t>Total Actual Base Rate Revenue</t>
  </si>
  <si>
    <t>Total Actual Fixed Charge Revenue</t>
  </si>
  <si>
    <t>Existing Customers</t>
  </si>
  <si>
    <t>Actual Customers on System During Test Year</t>
  </si>
  <si>
    <t>Monthly Fixed Cost Adj. Revenue per Customer</t>
  </si>
  <si>
    <t>Page 3</t>
  </si>
  <si>
    <t>Fixed Cost Adjustment Revenue</t>
  </si>
  <si>
    <t>Actual Usage (kWhs)</t>
  </si>
  <si>
    <t>Load Change Adjustment Rate ($/kWh)</t>
  </si>
  <si>
    <t>Page 1</t>
  </si>
  <si>
    <t>Variable Power Supply Revenue</t>
  </si>
  <si>
    <t>Customer Fixed Cost Adjustment Revenue</t>
  </si>
  <si>
    <t>Existing Customer Deferral - Surcharge (Rebate)</t>
  </si>
  <si>
    <t>New Customers</t>
  </si>
  <si>
    <t>Actual Customers New Since Test Year</t>
  </si>
  <si>
    <t>Fixed Production and Transmission Rate per kWh</t>
  </si>
  <si>
    <t xml:space="preserve">Page 1 </t>
  </si>
  <si>
    <t>Fixed Production and Transmission Revenue</t>
  </si>
  <si>
    <t>New Customer Deferral - Surcharge (Rebate)</t>
  </si>
  <si>
    <t>Total Residential Deferral - Surcharge (Rebate)</t>
  </si>
  <si>
    <t>Customer Deposit Rate</t>
  </si>
  <si>
    <t>Cumulative Residential Deferral (Rebate)/Surcharge</t>
  </si>
  <si>
    <t>Page 1 wtd avg</t>
  </si>
  <si>
    <t>Total Non-Residential Deferral - Surcharge (Rebate)</t>
  </si>
  <si>
    <t>Cumulative Non-Residential Deferral (Rebate)/Surcharge</t>
  </si>
  <si>
    <t>Total Cumulative Deferral</t>
  </si>
  <si>
    <t>Natural Gas Fixed Cost Adjustment Mechanism (Idaho)</t>
  </si>
  <si>
    <t>AVU-G-15-01 FCA Base - Rates Effective 1/1/2016</t>
  </si>
  <si>
    <t>Total Actual Usage (Therms)</t>
  </si>
  <si>
    <t>Actual Usage (Therms)</t>
  </si>
  <si>
    <t>Fixed Production and UG Storage Rate per Therm</t>
  </si>
  <si>
    <t>Fixed Production and UG Storage Revenue</t>
  </si>
  <si>
    <t>(p)</t>
  </si>
  <si>
    <t>(q)</t>
  </si>
  <si>
    <t>(r)</t>
  </si>
  <si>
    <t>(s)</t>
  </si>
  <si>
    <t>Non-Residential by Schedule Natural Gas Deferral Scenario (Calendar Year 2016)</t>
  </si>
  <si>
    <t>Non-Residential Only includes Schedule 111/112, no difference from Actual deferral</t>
  </si>
  <si>
    <t>Jurisdiction:ID</t>
  </si>
  <si>
    <t>FCA Deferred Revenue</t>
  </si>
  <si>
    <t>Change in FCA Revenue per Customer</t>
  </si>
  <si>
    <t>253311</t>
  </si>
  <si>
    <t>CONTRA DECOUPLING DEFERRED REV</t>
  </si>
  <si>
    <t>495311</t>
  </si>
  <si>
    <t>CONTRA DECOUPLING DEFERRAL</t>
  </si>
  <si>
    <t>Financial Reporting Contra Asset Accounts</t>
  </si>
  <si>
    <t>Summarized Quarterly and Year to Date Use per Customer and Fixed Cost Adjustment Revenue</t>
  </si>
  <si>
    <t>Per Customer.  Change versus Authorized</t>
  </si>
  <si>
    <t>Accumulated Deferred Income Tax</t>
  </si>
  <si>
    <t>Deferred Revenue</t>
  </si>
  <si>
    <t>Interest Expense/Income</t>
  </si>
  <si>
    <t>253312</t>
  </si>
  <si>
    <t>CONTRA DECOUPLED DEFERRED REVE</t>
  </si>
  <si>
    <t>456311</t>
  </si>
  <si>
    <t>182329</t>
  </si>
  <si>
    <t>REG ASSET- DECOUPLING PRIOR YE</t>
  </si>
  <si>
    <t>182339</t>
  </si>
  <si>
    <t>REG ASSET - NON RES DECOUPLING</t>
  </si>
  <si>
    <t>Prior Year FCA</t>
  </si>
  <si>
    <t>YTD wtd Average</t>
  </si>
  <si>
    <t>REG ASSET- DECOUPLING SURCHARG</t>
  </si>
  <si>
    <t>Deferred Revenue Approved for Recovery</t>
  </si>
  <si>
    <t>AMORTIZATION RES DECOUPLING DE</t>
  </si>
  <si>
    <t>AMORTIZATION NON-RES DECOUPLIN</t>
  </si>
  <si>
    <t>Amort of Prior Period Deferred Revenue</t>
  </si>
  <si>
    <t>Surcharge</t>
  </si>
  <si>
    <t>Rebate</t>
  </si>
  <si>
    <t>REG LIABILITY DECOUPLING REBAT</t>
  </si>
  <si>
    <t>REG LIABILITY NON RES DECOUPLI</t>
  </si>
  <si>
    <t xml:space="preserve">INTEREST INCOME - DECOUPLING		</t>
  </si>
  <si>
    <t xml:space="preserve">INTEREST EXPENSE - DECOUPLING	</t>
  </si>
  <si>
    <t>With Sch 172 Tax Reform Adj - Rates Effective 1/1/2019</t>
  </si>
  <si>
    <t>AVU-E-19-04 FCA Base - Rates Effective 12/1/2019</t>
  </si>
  <si>
    <t>Development of Natural Gas Deferrals (Calendar Year 2020)</t>
  </si>
  <si>
    <t>1st Quarter 2020</t>
  </si>
  <si>
    <t>2nd Quarter 2020</t>
  </si>
  <si>
    <t>3rd Quarter 2020</t>
  </si>
  <si>
    <t>4th Quarter 2020</t>
  </si>
  <si>
    <t>1st Quarter 2021</t>
  </si>
  <si>
    <t>2nd Quarter 2021</t>
  </si>
  <si>
    <t>(t)</t>
  </si>
  <si>
    <t>Development of Electric Deferrals (18 Months Ended June 2021)</t>
  </si>
  <si>
    <t>2)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2021 surcharge may not be fully recovered by 12/31/2023 and therefore would not be recognizable as income for financial reporting purposes in 2021.  The income statement impact of any contra deferral entries will be eliminated for normalized Idaho results reporting.</t>
  </si>
  <si>
    <t>See Notes tab</t>
  </si>
  <si>
    <t>202104</t>
  </si>
  <si>
    <t>202105</t>
  </si>
  <si>
    <t>202106</t>
  </si>
  <si>
    <t>18 Months Ended</t>
  </si>
  <si>
    <t xml:space="preserve">1)  The following table shows how the decoupled revenue per customer has tracked with use per customer for each quarter of 2021.   The similarity of the percentage change indicates that the mechanism is working as intended.  The slight differences in the Change in Revenue per Customer vs. the Deferral per Customer is due to a customer true-up recorded in June 2021.   </t>
  </si>
  <si>
    <t>3)   The "Fixed Cost Adjustment Revenue" on the Electric and Natural Gas Deferral tabs were adjusted in June 2021.   As approved by Order No. 34502 in Case No. AVU-E-19-06, the Company will include a true-up to calculate Fixed Cost Adjustment (FCA) revenue using annual average customers compared to what was recorded using monthly customer counts, and record the difference so that the annual FCA revenue is based on annual average customers.  The Fixed Cost Adjustment Revenue was adjusted as follows:
Electric Residential Existing Customers                      -$45,918.15
Electric Residential New Customers                              $22,599.75
Electric Non-Residential Existing Customers           -$14,305.89
Electric Non-Residential New Customers                   $11,959.16
Natural Gas Residential Existing Customers            -$43,613.06
Natural Gas Residential New Customers                    $25,760.07
Natural Gas Non-Residential Existing Customers  -$8,958.23
Natural Gas Non-Residential New Customers          $2,067.79</t>
  </si>
  <si>
    <t>Please see note 3 in the Notes tab for the highlighted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</si>
</sst>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_);_(&quot;$&quot;* \(#,##0.00000\);_(&quot;$&quot;* &quot;-&quot;??_);_(@_)"/>
    <numFmt numFmtId="169" formatCode="_(* #,##0.000000_);_(* \(#,##0.000000\);_(* &quot;-&quot;??_);_(@_)"/>
    <numFmt numFmtId="170" formatCode="###,###,##0.00"/>
    <numFmt numFmtId="171" formatCode="#,###,###,##0.00"/>
    <numFmt numFmtId="172" formatCode="###,###,##0.00;\-###,###,##0.00"/>
    <numFmt numFmtId="173" formatCode="0.000000"/>
    <numFmt numFmtId="174" formatCode="_(* #,##0.00000_);_(* \(#,##0.00000\);_(* &quot;-&quot;??_);_(@_)"/>
    <numFmt numFmtId="175" formatCode="0.0000000"/>
    <numFmt numFmtId="176" formatCode="0000"/>
    <numFmt numFmtId="177" formatCode="000000"/>
    <numFmt numFmtId="178" formatCode="d\.mmm\.yy"/>
    <numFmt numFmtId="179" formatCode="_-* #,##0.00\ _D_M_-;\-* #,##0.00\ _D_M_-;_-* &quot;-&quot;??\ _D_M_-;_-@_-"/>
    <numFmt numFmtId="180" formatCode="_(* #,##0.000_);_(* \(#,##0.000\);_(* &quot;-&quot;??_);_(@_)"/>
    <numFmt numFmtId="181" formatCode="#."/>
    <numFmt numFmtId="182" formatCode="_-* #,##0.00\ &quot;DM&quot;_-;\-* #,##0.00\ &quot;DM&quot;_-;_-* &quot;-&quot;??\ &quot;DM&quot;_-;_-@_-"/>
    <numFmt numFmtId="183" formatCode="_(* ###0_);_(* \(###0\);_(* &quot;-&quot;_);_(@_)"/>
    <numFmt numFmtId="184" formatCode="&quot;$&quot;#,##0\ ;\(&quot;$&quot;#,##0\)"/>
    <numFmt numFmtId="185" formatCode="mmmm\ d\,\ yyyy"/>
    <numFmt numFmtId="186" formatCode="[Blue]#,##0_);[Magenta]\(#,##0\)"/>
    <numFmt numFmtId="187" formatCode="_([$€-2]* #,##0.00_);_([$€-2]* \(#,##0.00\);_([$€-2]* &quot;-&quot;??_)"/>
    <numFmt numFmtId="188" formatCode="_(&quot;$&quot;* #,##0.0_);_(&quot;$&quot;* \(#,##0.0\);_(&quot;$&quot;* &quot;-&quot;??_);_(@_)"/>
    <numFmt numFmtId="189" formatCode="0.0000_);\(0.0000\)"/>
    <numFmt numFmtId="190" formatCode="0.00_)"/>
    <numFmt numFmtId="191" formatCode="&quot;$&quot;#,##0;\-&quot;$&quot;#,##0"/>
    <numFmt numFmtId="192" formatCode="_(&quot;$&quot;* #,##0.000000_);_(&quot;$&quot;* \(#,##0.000000\);_(&quot;$&quot;* &quot;-&quot;??????_);_(@_)"/>
    <numFmt numFmtId="193" formatCode="#,##0.00\ ;\(#,##0.00\)"/>
    <numFmt numFmtId="194" formatCode="0\ &quot; HR&quot;"/>
    <numFmt numFmtId="195" formatCode="0000000"/>
    <numFmt numFmtId="196" formatCode="0.0000%"/>
    <numFmt numFmtId="197" formatCode="0.00000%"/>
    <numFmt numFmtId="198" formatCode="mmm\-yyyy"/>
    <numFmt numFmtId="199" formatCode="_(&quot;$&quot;* #,##0.000_);_(&quot;$&quot;* \(#,##0.000\);_(&quot;$&quot;* &quot;-&quot;??_);_(@_)"/>
    <numFmt numFmtId="200" formatCode="m/yy"/>
    <numFmt numFmtId="201" formatCode="_(&quot;$&quot;* #,##0.0000_);_(&quot;$&quot;* \(#,##0.0000\);_(&quot;$&quot;* &quot;-&quot;????_);_(@_)"/>
    <numFmt numFmtId="202" formatCode="0.0%"/>
    <numFmt numFmtId="203" formatCode="_(* #,##0.0_);_(* \(#,##0.0\);_(* &quot;-&quot;_);_(@_)"/>
    <numFmt numFmtId="204" formatCode="0.000%"/>
    <numFmt numFmtId="205" formatCode="[$-F800]dddd\,\ mmmm\ dd\,\ yyyy"/>
    <numFmt numFmtId="206" formatCode="[$-409]mmmm\-yy;@"/>
    <numFmt numFmtId="207" formatCode="#,##0_%_);\(#,##0\)_%;#,##0_%_);@_%_)"/>
    <numFmt numFmtId="208" formatCode="_._.* #,##0.0_)_%;_._.* \(#,##0.0\)_%"/>
    <numFmt numFmtId="209" formatCode="_._.* #,##0.00_)_%;_._.* \(#,##0.00\)_%"/>
    <numFmt numFmtId="210" formatCode="_._.* #,##0.000_)_%;_._.* \(#,##0.000\)_%"/>
    <numFmt numFmtId="211" formatCode="_(* #,##0.00_);_(* \(\ #,##0.00\ \);_(* &quot;-&quot;??_);_(\ @_ \)"/>
    <numFmt numFmtId="212" formatCode="_._.* #,##0_)_%;_._.* #,##0_)_%;_._.* 0_)_%;_._.@_)_%"/>
    <numFmt numFmtId="213" formatCode="_._.&quot;$&quot;* #,##0.0_)_%;_._.&quot;$&quot;* \(#,##0.0\)_%"/>
    <numFmt numFmtId="214" formatCode="_._.&quot;$&quot;* #,##0.00_)_%;_._.&quot;$&quot;* \(#,##0.00\)_%"/>
    <numFmt numFmtId="215" formatCode="_._.&quot;$&quot;* #,##0.000_)_%;_._.&quot;$&quot;* \(#,##0.000\)_%"/>
    <numFmt numFmtId="216" formatCode="_._.&quot;$&quot;* #,###_)_%;_._.&quot;$&quot;* #,###_)_%;_._.&quot;$&quot;* 0_)_%;_._.@_)_%"/>
    <numFmt numFmtId="217" formatCode="#,###,##0.00;\(#,###,##0.00\)"/>
    <numFmt numFmtId="218" formatCode="#,###,##0;\(#,###,##0\)"/>
    <numFmt numFmtId="219" formatCode="0.0"/>
    <numFmt numFmtId="220" formatCode="&quot;$&quot;#,###,##0.00;\(&quot;$&quot;#,###,##0.00\)"/>
    <numFmt numFmtId="221" formatCode="&quot;$&quot;#,###,##0;\(&quot;$&quot;#,###,##0\)"/>
    <numFmt numFmtId="222" formatCode="#,##0.00%;\(#,##0.00%\)"/>
    <numFmt numFmtId="223" formatCode="_(0_)%;\(0\)%"/>
    <numFmt numFmtId="224" formatCode="_._._(* 0_)%;_._.* \(0\)%"/>
    <numFmt numFmtId="225" formatCode="_(0.0_)%;\(0.0\)%"/>
    <numFmt numFmtId="226" formatCode="_._._(* 0.0_)%;_._.* \(0.0\)%"/>
    <numFmt numFmtId="227" formatCode="_(0.00_)%;\(0.00\)%"/>
    <numFmt numFmtId="228" formatCode="_._._(* 0.00_)%;_._.* \(0.00\)%"/>
    <numFmt numFmtId="229" formatCode="_(0.000_)%;\(0.000\)%"/>
    <numFmt numFmtId="230" formatCode="_._._(* 0.000_)%;_._.* \(0.000\)%"/>
    <numFmt numFmtId="231" formatCode="_(0.0000_)%;\(0.0000\)%"/>
    <numFmt numFmtId="232" formatCode="_._._(* 0.0000_)%;_._.* \(0.0000\)%"/>
    <numFmt numFmtId="233" formatCode="_(* #,##0_);_(* \(#,##0\);_(* 0_);_(@_)"/>
    <numFmt numFmtId="234" formatCode="_(* #,##0.0_);_(* \(#,##0.0\)"/>
    <numFmt numFmtId="235" formatCode="_(* #,##0.00_);_(* \(#,##0.00\)"/>
    <numFmt numFmtId="236" formatCode="_(* #,##0.000_);_(* \(#,##0.000\)"/>
    <numFmt numFmtId="237" formatCode="_(&quot;$&quot;* #,##0_);_(&quot;$&quot;* \(#,##0\);_(&quot;$&quot;* 0_);_(@_)"/>
    <numFmt numFmtId="238" formatCode="_(&quot;$&quot;* #,##0.0_);_(&quot;$&quot;* \(#,##0.0\)"/>
    <numFmt numFmtId="239" formatCode="_(&quot;$&quot;* #,##0.00_);_(&quot;$&quot;* \(#,##0.00\)"/>
    <numFmt numFmtId="240" formatCode="_(&quot;$&quot;* #,##0.000_);_(&quot;$&quot;* \(#,##0.000\)"/>
    <numFmt numFmtId="241" formatCode="#,##0.0_x_x"/>
  </numFmts>
  <fonts count="178">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0"/>
      <color rgb="FF3333FF"/>
      <name val="Times New Roman"/>
      <family val="1"/>
    </font>
    <font>
      <b/>
      <i/>
      <u/>
      <sz val="10"/>
      <color theme="1"/>
      <name val="Times New Roman"/>
      <family val="1"/>
    </font>
    <font>
      <sz val="10"/>
      <color rgb="FF0000FF"/>
      <name val="Times New Roman"/>
      <family val="1"/>
    </font>
    <font>
      <sz val="10"/>
      <color theme="1"/>
      <name val="Calibri"/>
      <family val="2"/>
      <scheme val="minor"/>
    </font>
    <font>
      <sz val="10"/>
      <color theme="4" tint="-0.249977111117893"/>
      <name val="Times New Roman"/>
      <family val="1"/>
    </font>
    <font>
      <sz val="10"/>
      <color rgb="FF0066FF"/>
      <name val="Times New Roman"/>
      <family val="1"/>
    </font>
    <font>
      <sz val="10"/>
      <color theme="6" tint="-0.499984740745262"/>
      <name val="Times New Roman"/>
      <family val="1"/>
    </font>
    <font>
      <sz val="8"/>
      <name val="Calibri"/>
      <family val="2"/>
      <scheme val="minor"/>
    </font>
  </fonts>
  <fills count="1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8"/>
      </bottom>
      <diagonal/>
    </border>
    <border>
      <left/>
      <right/>
      <top style="thin">
        <color indexed="8"/>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0" fontId="32" fillId="0" borderId="0"/>
    <xf numFmtId="0" fontId="32"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32" fillId="0" borderId="0"/>
    <xf numFmtId="0" fontId="32" fillId="0" borderId="0"/>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2" fillId="0" borderId="0"/>
    <xf numFmtId="0" fontId="32" fillId="0" borderId="0"/>
    <xf numFmtId="176" fontId="34" fillId="0" borderId="0">
      <alignment horizontal="left"/>
    </xf>
    <xf numFmtId="177" fontId="35" fillId="0" borderId="0">
      <alignment horizontal="left"/>
    </xf>
    <xf numFmtId="0" fontId="36" fillId="0" borderId="15"/>
    <xf numFmtId="0" fontId="37" fillId="0" borderId="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3" fontId="33"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3" fontId="33"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3" fontId="33"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3" fontId="33" fillId="0" borderId="0">
      <alignment horizontal="left" wrapText="1"/>
    </xf>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173" fontId="33" fillId="0" borderId="0">
      <alignment horizontal="left" wrapText="1"/>
    </xf>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33"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3" fontId="33"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0" fillId="13"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0" fillId="17"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0" fillId="21"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173" fontId="33" fillId="0" borderId="0">
      <alignment horizontal="left" wrapText="1"/>
    </xf>
    <xf numFmtId="173" fontId="33" fillId="0" borderId="0">
      <alignment horizontal="left" wrapText="1"/>
    </xf>
    <xf numFmtId="0" fontId="39"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9"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173" fontId="33" fillId="0" borderId="0">
      <alignment horizontal="left" wrapText="1"/>
    </xf>
    <xf numFmtId="173" fontId="33" fillId="0" borderId="0">
      <alignment horizontal="left" wrapText="1"/>
    </xf>
    <xf numFmtId="0" fontId="39"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173" fontId="33" fillId="0" borderId="0">
      <alignment horizontal="left" wrapText="1"/>
    </xf>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173" fontId="33" fillId="0" borderId="0">
      <alignment horizontal="left" wrapText="1"/>
    </xf>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73" fontId="33" fillId="0" borderId="0">
      <alignment horizontal="left" wrapText="1"/>
    </xf>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6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173" fontId="33" fillId="0" borderId="0">
      <alignment horizontal="left" wrapText="1"/>
    </xf>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0" fillId="4" borderId="0" applyNumberFormat="0" applyBorder="0" applyAlignment="0" applyProtection="0"/>
    <xf numFmtId="0" fontId="20" fillId="40" borderId="0" applyNumberFormat="0" applyBorder="0" applyAlignment="0" applyProtection="0"/>
    <xf numFmtId="173" fontId="33" fillId="0" borderId="0">
      <alignment horizontal="left" wrapText="1"/>
    </xf>
    <xf numFmtId="173" fontId="33" fillId="0" borderId="0">
      <alignment horizontal="left" wrapText="1"/>
    </xf>
    <xf numFmtId="0" fontId="4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5" fillId="0" borderId="0" applyFont="0" applyFill="0" applyBorder="0" applyAlignment="0" applyProtection="0">
      <alignment horizontal="right"/>
    </xf>
    <xf numFmtId="0" fontId="37" fillId="0" borderId="15"/>
    <xf numFmtId="178" fontId="41" fillId="0" borderId="0" applyFill="0" applyBorder="0" applyAlignment="0"/>
    <xf numFmtId="178" fontId="41" fillId="0" borderId="0" applyFill="0" applyBorder="0" applyAlignment="0"/>
    <xf numFmtId="173" fontId="33" fillId="0" borderId="0">
      <alignment horizontal="left" wrapText="1"/>
    </xf>
    <xf numFmtId="173" fontId="33" fillId="0" borderId="0">
      <alignment horizontal="left" wrapText="1"/>
    </xf>
    <xf numFmtId="178" fontId="41" fillId="0" borderId="0" applyFill="0" applyBorder="0" applyAlignment="0"/>
    <xf numFmtId="41" fontId="9" fillId="67" borderId="0"/>
    <xf numFmtId="0" fontId="42" fillId="68" borderId="16" applyNumberFormat="0" applyAlignment="0" applyProtection="0"/>
    <xf numFmtId="173" fontId="33" fillId="0" borderId="0">
      <alignment horizontal="left" wrapText="1"/>
    </xf>
    <xf numFmtId="0" fontId="42" fillId="68" borderId="16" applyNumberFormat="0" applyAlignment="0" applyProtection="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173" fontId="33" fillId="0" borderId="0">
      <alignment horizontal="left" wrapText="1"/>
    </xf>
    <xf numFmtId="41" fontId="9" fillId="67" borderId="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41" fontId="9" fillId="67" borderId="0"/>
    <xf numFmtId="41" fontId="9" fillId="67" borderId="0"/>
    <xf numFmtId="0" fontId="43" fillId="69" borderId="9" applyNumberFormat="0" applyAlignment="0" applyProtection="0"/>
    <xf numFmtId="0" fontId="24" fillId="7" borderId="9" applyNumberFormat="0" applyAlignment="0" applyProtection="0"/>
    <xf numFmtId="0" fontId="44" fillId="70" borderId="17" applyNumberFormat="0" applyAlignment="0" applyProtection="0"/>
    <xf numFmtId="0" fontId="44" fillId="70" borderId="17" applyNumberFormat="0" applyAlignment="0" applyProtection="0"/>
    <xf numFmtId="173" fontId="33" fillId="0" borderId="0">
      <alignment horizontal="left" wrapText="1"/>
    </xf>
    <xf numFmtId="0" fontId="44" fillId="70" borderId="17" applyNumberFormat="0" applyAlignment="0" applyProtection="0"/>
    <xf numFmtId="173" fontId="33" fillId="0" borderId="0">
      <alignment horizontal="left" wrapText="1"/>
    </xf>
    <xf numFmtId="0" fontId="26" fillId="8" borderId="12" applyNumberFormat="0" applyAlignment="0" applyProtection="0"/>
    <xf numFmtId="0" fontId="44" fillId="70" borderId="17" applyNumberFormat="0" applyAlignment="0" applyProtection="0"/>
    <xf numFmtId="41" fontId="9" fillId="71" borderId="0"/>
    <xf numFmtId="41" fontId="9" fillId="71" borderId="0"/>
    <xf numFmtId="173" fontId="33" fillId="0" borderId="0">
      <alignment horizontal="left" wrapText="1"/>
    </xf>
    <xf numFmtId="41" fontId="9" fillId="71" borderId="0"/>
    <xf numFmtId="41" fontId="9" fillId="71" borderId="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9" fontId="9" fillId="0" borderId="0" applyFont="0" applyFill="0" applyBorder="0" applyAlignment="0" applyProtection="0"/>
    <xf numFmtId="43" fontId="38" fillId="0" borderId="0" applyFont="0" applyFill="0" applyBorder="0" applyAlignment="0" applyProtection="0"/>
    <xf numFmtId="40"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80" fontId="9"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1" fillId="0" borderId="0" applyFont="0" applyFill="0" applyBorder="0" applyAlignment="0" applyProtection="0"/>
    <xf numFmtId="43" fontId="38"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43" fontId="1"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3" fontId="48" fillId="0" borderId="0" applyFill="0" applyBorder="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2"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3" fontId="33" fillId="0" borderId="0">
      <alignment horizontal="left" wrapText="1"/>
    </xf>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81" fontId="55" fillId="0" borderId="0">
      <protection locked="0"/>
    </xf>
    <xf numFmtId="0" fontId="51" fillId="0" borderId="0"/>
    <xf numFmtId="0" fontId="52" fillId="0" borderId="0"/>
    <xf numFmtId="0" fontId="52" fillId="0" borderId="0"/>
    <xf numFmtId="0" fontId="51" fillId="0" borderId="0"/>
    <xf numFmtId="0" fontId="50" fillId="0" borderId="0"/>
    <xf numFmtId="0" fontId="52" fillId="0" borderId="0"/>
    <xf numFmtId="0" fontId="56" fillId="0" borderId="0" applyNumberFormat="0" applyAlignment="0">
      <alignment horizontal="left"/>
    </xf>
    <xf numFmtId="0" fontId="56" fillId="0" borderId="0" applyNumberFormat="0" applyAlignment="0">
      <alignment horizontal="left"/>
    </xf>
    <xf numFmtId="173" fontId="33" fillId="0" borderId="0">
      <alignment horizontal="left" wrapText="1"/>
    </xf>
    <xf numFmtId="173" fontId="33" fillId="0" borderId="0">
      <alignment horizontal="left" wrapText="1"/>
    </xf>
    <xf numFmtId="0" fontId="56" fillId="0" borderId="0" applyNumberFormat="0" applyAlignment="0">
      <alignment horizontal="left"/>
    </xf>
    <xf numFmtId="0" fontId="57" fillId="0" borderId="0" applyNumberFormat="0" applyAlignment="0"/>
    <xf numFmtId="0" fontId="57" fillId="0" borderId="0" applyNumberFormat="0" applyAlignment="0"/>
    <xf numFmtId="173" fontId="33" fillId="0" borderId="0">
      <alignment horizontal="left" wrapText="1"/>
    </xf>
    <xf numFmtId="173" fontId="33" fillId="0" borderId="0">
      <alignment horizontal="left" wrapText="1"/>
    </xf>
    <xf numFmtId="0" fontId="57" fillId="0" borderId="0" applyNumberFormat="0" applyAlignment="0"/>
    <xf numFmtId="0" fontId="49" fillId="0" borderId="0"/>
    <xf numFmtId="0" fontId="49" fillId="0" borderId="0"/>
    <xf numFmtId="0" fontId="51" fillId="0" borderId="0"/>
    <xf numFmtId="0" fontId="52" fillId="0" borderId="0"/>
    <xf numFmtId="0" fontId="52" fillId="0" borderId="0"/>
    <xf numFmtId="0" fontId="51" fillId="0" borderId="0"/>
    <xf numFmtId="0" fontId="50" fillId="0" borderId="0"/>
    <xf numFmtId="0" fontId="52" fillId="0" borderId="0"/>
    <xf numFmtId="0" fontId="49" fillId="0" borderId="0"/>
    <xf numFmtId="0" fontId="49" fillId="0" borderId="0"/>
    <xf numFmtId="0" fontId="51" fillId="0" borderId="0"/>
    <xf numFmtId="0" fontId="52" fillId="0" borderId="0"/>
    <xf numFmtId="0" fontId="52" fillId="0" borderId="0"/>
    <xf numFmtId="0" fontId="51" fillId="0" borderId="0"/>
    <xf numFmtId="0" fontId="52" fillId="0" borderId="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58" fillId="0" borderId="0" applyFont="0" applyFill="0" applyBorder="0" applyAlignment="0" applyProtection="0"/>
    <xf numFmtId="44" fontId="59" fillId="0" borderId="0" applyFont="0" applyFill="0" applyBorder="0" applyAlignment="0" applyProtection="0"/>
    <xf numFmtId="173" fontId="33" fillId="0" borderId="0">
      <alignment horizontal="left" wrapText="1"/>
    </xf>
    <xf numFmtId="173" fontId="33" fillId="0" borderId="0">
      <alignment horizontal="left" wrapText="1"/>
    </xf>
    <xf numFmtId="8" fontId="4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46"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8" fontId="45"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4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173" fontId="33" fillId="0" borderId="0">
      <alignment horizontal="left" wrapText="1"/>
    </xf>
    <xf numFmtId="183" fontId="9" fillId="0" borderId="0" applyFont="0" applyFill="0" applyBorder="0" applyAlignment="0" applyProtection="0"/>
    <xf numFmtId="184" fontId="60"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5" fontId="48" fillId="0" borderId="0" applyFill="0" applyBorder="0" applyAlignment="0" applyProtection="0"/>
    <xf numFmtId="183" fontId="9" fillId="0" borderId="0" applyFont="0" applyFill="0" applyBorder="0" applyAlignment="0" applyProtection="0"/>
    <xf numFmtId="184" fontId="48"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5" fontId="48" fillId="0" borderId="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173" fontId="33" fillId="0" borderId="0">
      <alignment horizontal="left" wrapText="1"/>
    </xf>
    <xf numFmtId="185" fontId="48" fillId="0" borderId="0" applyFill="0" applyBorder="0" applyAlignment="0" applyProtection="0"/>
    <xf numFmtId="0" fontId="53" fillId="0" borderId="0" applyFont="0" applyFill="0" applyBorder="0" applyAlignment="0" applyProtection="0"/>
    <xf numFmtId="0" fontId="9" fillId="0" borderId="0" applyFont="0" applyFill="0" applyBorder="0" applyAlignment="0" applyProtection="0"/>
    <xf numFmtId="185" fontId="48" fillId="0" borderId="0" applyFill="0" applyBorder="0" applyAlignment="0" applyProtection="0"/>
    <xf numFmtId="0" fontId="60" fillId="0" borderId="0" applyFont="0" applyFill="0" applyBorder="0" applyAlignment="0" applyProtection="0"/>
    <xf numFmtId="0" fontId="37" fillId="0" borderId="0"/>
    <xf numFmtId="0" fontId="61" fillId="72"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3" fontId="9" fillId="0" borderId="0"/>
    <xf numFmtId="173" fontId="9" fillId="0" borderId="0"/>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33" fillId="0" borderId="0">
      <alignment horizontal="left" wrapText="1"/>
    </xf>
    <xf numFmtId="173" fontId="9" fillId="0" borderId="0"/>
    <xf numFmtId="173" fontId="33" fillId="0" borderId="0">
      <alignment horizontal="left" wrapText="1"/>
    </xf>
    <xf numFmtId="173" fontId="9" fillId="0" borderId="0"/>
    <xf numFmtId="173" fontId="33" fillId="0" borderId="0">
      <alignment horizontal="left" wrapText="1"/>
    </xf>
    <xf numFmtId="186" fontId="62" fillId="0" borderId="0"/>
    <xf numFmtId="173" fontId="33" fillId="0" borderId="0">
      <alignment horizontal="left" wrapText="1"/>
    </xf>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9" fillId="0" borderId="0"/>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33" fillId="0" borderId="0">
      <alignment horizontal="left" wrapText="1"/>
    </xf>
    <xf numFmtId="0" fontId="28" fillId="0" borderId="0" applyNumberFormat="0" applyFill="0" applyBorder="0" applyAlignment="0" applyProtection="0"/>
    <xf numFmtId="0" fontId="63" fillId="0" borderId="0" applyNumberFormat="0" applyFill="0" applyBorder="0" applyAlignment="0" applyProtection="0"/>
    <xf numFmtId="2" fontId="48" fillId="0" borderId="0" applyFill="0" applyBorder="0" applyAlignment="0" applyProtection="0"/>
    <xf numFmtId="2" fontId="53"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2" fontId="48" fillId="0" borderId="0" applyFont="0" applyFill="0" applyBorder="0" applyAlignment="0" applyProtection="0"/>
    <xf numFmtId="2" fontId="48" fillId="0" borderId="0" applyFont="0" applyFill="0" applyBorder="0" applyAlignment="0" applyProtection="0"/>
    <xf numFmtId="2" fontId="48" fillId="0" borderId="0" applyFill="0" applyBorder="0" applyAlignment="0" applyProtection="0"/>
    <xf numFmtId="2" fontId="53" fillId="0" borderId="0" applyFont="0" applyFill="0" applyBorder="0" applyAlignment="0" applyProtection="0"/>
    <xf numFmtId="0" fontId="49" fillId="0" borderId="0"/>
    <xf numFmtId="0" fontId="49" fillId="0" borderId="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19" fillId="3" borderId="0" applyNumberFormat="0" applyBorder="0" applyAlignment="0" applyProtection="0"/>
    <xf numFmtId="0" fontId="19" fillId="42" borderId="0" applyNumberFormat="0" applyBorder="0" applyAlignment="0" applyProtection="0"/>
    <xf numFmtId="173" fontId="33" fillId="0" borderId="0">
      <alignment horizontal="left" wrapText="1"/>
    </xf>
    <xf numFmtId="173" fontId="33" fillId="0" borderId="0">
      <alignment horizontal="left" wrapText="1"/>
    </xf>
    <xf numFmtId="0" fontId="6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173" fontId="33" fillId="0" borderId="0">
      <alignment horizontal="left" wrapText="1"/>
    </xf>
    <xf numFmtId="38" fontId="65" fillId="71" borderId="0" applyNumberFormat="0" applyBorder="0" applyAlignment="0" applyProtection="0"/>
    <xf numFmtId="0"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0" fontId="66" fillId="0" borderId="15"/>
    <xf numFmtId="188" fontId="67" fillId="0" borderId="0" applyNumberFormat="0" applyFill="0" applyBorder="0" applyProtection="0">
      <alignment horizontal="right"/>
    </xf>
    <xf numFmtId="0" fontId="68" fillId="0" borderId="18" applyNumberFormat="0" applyAlignment="0" applyProtection="0">
      <alignment horizontal="left"/>
    </xf>
    <xf numFmtId="0" fontId="68" fillId="0" borderId="18" applyNumberFormat="0" applyAlignment="0" applyProtection="0">
      <alignment horizontal="left"/>
    </xf>
    <xf numFmtId="173" fontId="33" fillId="0" borderId="0">
      <alignment horizontal="left" wrapText="1"/>
    </xf>
    <xf numFmtId="173" fontId="33" fillId="0" borderId="0">
      <alignment horizontal="left" wrapText="1"/>
    </xf>
    <xf numFmtId="0" fontId="68" fillId="0" borderId="18" applyNumberFormat="0" applyAlignment="0" applyProtection="0">
      <alignment horizontal="left"/>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73" fontId="33" fillId="0" borderId="0">
      <alignment horizontal="left" wrapText="1"/>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4" fontId="14" fillId="75" borderId="20">
      <alignment horizontal="center" vertical="center" wrapText="1"/>
    </xf>
    <xf numFmtId="0" fontId="53" fillId="0" borderId="0" applyNumberFormat="0" applyFill="0" applyBorder="0" applyAlignment="0" applyProtection="0"/>
    <xf numFmtId="0" fontId="69" fillId="0" borderId="21" applyNumberFormat="0" applyFill="0" applyAlignment="0" applyProtection="0"/>
    <xf numFmtId="0" fontId="69" fillId="0" borderId="21"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0" fillId="0" borderId="22"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1" fillId="0" borderId="0" applyNumberFormat="0" applyFill="0" applyBorder="0" applyAlignment="0" applyProtection="0"/>
    <xf numFmtId="173" fontId="33" fillId="0" borderId="0">
      <alignment horizontal="left" wrapText="1"/>
    </xf>
    <xf numFmtId="0" fontId="70" fillId="0" borderId="22" applyNumberFormat="0" applyFill="0" applyAlignment="0" applyProtection="0"/>
    <xf numFmtId="0" fontId="71" fillId="0" borderId="0" applyNumberFormat="0" applyFill="0" applyBorder="0" applyAlignment="0" applyProtection="0"/>
    <xf numFmtId="0" fontId="70" fillId="0" borderId="22" applyNumberFormat="0" applyFill="0" applyAlignment="0" applyProtection="0"/>
    <xf numFmtId="0" fontId="16" fillId="0" borderId="6" applyNumberFormat="0" applyFill="0" applyAlignment="0" applyProtection="0"/>
    <xf numFmtId="0" fontId="53" fillId="0" borderId="0" applyNumberFormat="0" applyFill="0" applyBorder="0" applyAlignment="0" applyProtection="0"/>
    <xf numFmtId="0" fontId="72" fillId="0" borderId="23" applyNumberFormat="0" applyFill="0" applyAlignment="0" applyProtection="0"/>
    <xf numFmtId="0" fontId="72" fillId="0" borderId="23"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73" fillId="0" borderId="24"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65" fillId="0" borderId="0" applyNumberFormat="0" applyFill="0" applyBorder="0" applyAlignment="0" applyProtection="0"/>
    <xf numFmtId="173" fontId="33" fillId="0" borderId="0">
      <alignment horizontal="left" wrapText="1"/>
    </xf>
    <xf numFmtId="0" fontId="73" fillId="0" borderId="24" applyNumberFormat="0" applyFill="0" applyAlignment="0" applyProtection="0"/>
    <xf numFmtId="0" fontId="65" fillId="0" borderId="0" applyNumberFormat="0" applyFill="0" applyBorder="0" applyAlignment="0" applyProtection="0"/>
    <xf numFmtId="0" fontId="73" fillId="0" borderId="24" applyNumberFormat="0" applyFill="0" applyAlignment="0" applyProtection="0"/>
    <xf numFmtId="0" fontId="17" fillId="0" borderId="7"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173" fontId="33" fillId="0" borderId="0">
      <alignment horizontal="left" wrapText="1"/>
    </xf>
    <xf numFmtId="173" fontId="33" fillId="0" borderId="0">
      <alignment horizontal="left" wrapText="1"/>
    </xf>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173" fontId="33" fillId="0" borderId="0">
      <alignment horizontal="left" wrapText="1"/>
    </xf>
    <xf numFmtId="173" fontId="33" fillId="0" borderId="0">
      <alignment horizontal="left"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38" fontId="76" fillId="0" borderId="0"/>
    <xf numFmtId="38" fontId="76" fillId="0" borderId="0"/>
    <xf numFmtId="38" fontId="76" fillId="0" borderId="0"/>
    <xf numFmtId="38" fontId="76" fillId="0" borderId="0"/>
    <xf numFmtId="173" fontId="33" fillId="0" borderId="0">
      <alignment horizontal="left" wrapText="1"/>
    </xf>
    <xf numFmtId="0" fontId="76" fillId="0" borderId="0"/>
    <xf numFmtId="0" fontId="76" fillId="0" borderId="0"/>
    <xf numFmtId="0" fontId="76" fillId="0" borderId="0"/>
    <xf numFmtId="38" fontId="76" fillId="0" borderId="0"/>
    <xf numFmtId="38" fontId="76" fillId="0" borderId="0"/>
    <xf numFmtId="38" fontId="76" fillId="0" borderId="0"/>
    <xf numFmtId="40" fontId="76" fillId="0" borderId="0"/>
    <xf numFmtId="40" fontId="76" fillId="0" borderId="0"/>
    <xf numFmtId="40" fontId="76" fillId="0" borderId="0"/>
    <xf numFmtId="40" fontId="76" fillId="0" borderId="0"/>
    <xf numFmtId="173" fontId="33" fillId="0" borderId="0">
      <alignment horizontal="left" wrapText="1"/>
    </xf>
    <xf numFmtId="0" fontId="76" fillId="0" borderId="0"/>
    <xf numFmtId="0" fontId="76" fillId="0" borderId="0"/>
    <xf numFmtId="0" fontId="76" fillId="0" borderId="0"/>
    <xf numFmtId="40" fontId="76" fillId="0" borderId="0"/>
    <xf numFmtId="40" fontId="76" fillId="0" borderId="0"/>
    <xf numFmtId="40" fontId="76" fillId="0" borderId="0"/>
    <xf numFmtId="0" fontId="77" fillId="0" borderId="0" applyNumberFormat="0" applyFill="0" applyBorder="0" applyAlignment="0" applyProtection="0">
      <alignment vertical="top"/>
      <protection locked="0"/>
    </xf>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41" fontId="79" fillId="76" borderId="28">
      <alignment horizontal="left"/>
      <protection locked="0"/>
    </xf>
    <xf numFmtId="173" fontId="33" fillId="0" borderId="0">
      <alignment horizontal="left" wrapText="1"/>
    </xf>
    <xf numFmtId="41" fontId="79" fillId="76" borderId="28">
      <alignment horizontal="left"/>
      <protection locked="0"/>
    </xf>
    <xf numFmtId="10" fontId="79" fillId="76" borderId="28">
      <alignment horizontal="right"/>
      <protection locked="0"/>
    </xf>
    <xf numFmtId="173" fontId="33" fillId="0" borderId="0">
      <alignment horizontal="left" wrapText="1"/>
    </xf>
    <xf numFmtId="10" fontId="79" fillId="76" borderId="28">
      <alignment horizontal="right"/>
      <protection locked="0"/>
    </xf>
    <xf numFmtId="173" fontId="33" fillId="0" borderId="0">
      <alignment horizontal="left" wrapText="1"/>
    </xf>
    <xf numFmtId="41" fontId="79" fillId="76" borderId="28">
      <alignment horizontal="left"/>
      <protection locked="0"/>
    </xf>
    <xf numFmtId="0" fontId="66" fillId="0" borderId="29"/>
    <xf numFmtId="0" fontId="65" fillId="71" borderId="0"/>
    <xf numFmtId="0" fontId="65" fillId="71" borderId="0"/>
    <xf numFmtId="0" fontId="65" fillId="71" borderId="0"/>
    <xf numFmtId="0" fontId="65" fillId="71" borderId="0"/>
    <xf numFmtId="173" fontId="33" fillId="0" borderId="0">
      <alignment horizontal="left" wrapText="1"/>
    </xf>
    <xf numFmtId="3" fontId="80" fillId="0" borderId="0" applyFill="0" applyBorder="0" applyAlignment="0" applyProtection="0"/>
    <xf numFmtId="173" fontId="33" fillId="0" borderId="0">
      <alignment horizontal="left" wrapText="1"/>
    </xf>
    <xf numFmtId="173" fontId="33" fillId="0" borderId="0">
      <alignment horizontal="left" wrapText="1"/>
    </xf>
    <xf numFmtId="3" fontId="80" fillId="0" borderId="0" applyFill="0" applyBorder="0" applyAlignment="0" applyProtection="0"/>
    <xf numFmtId="3" fontId="80" fillId="0" borderId="0" applyFill="0" applyBorder="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25" fillId="0" borderId="11" applyNumberFormat="0" applyFill="0" applyAlignment="0" applyProtection="0"/>
    <xf numFmtId="0" fontId="82" fillId="0" borderId="31" applyNumberFormat="0" applyFill="0" applyAlignment="0" applyProtection="0"/>
    <xf numFmtId="173" fontId="33" fillId="0" borderId="0">
      <alignment horizontal="left" wrapText="1"/>
    </xf>
    <xf numFmtId="173" fontId="33" fillId="0" borderId="0">
      <alignment horizontal="left" wrapText="1"/>
    </xf>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189" fontId="9" fillId="0" borderId="0" applyFont="0" applyFill="0" applyBorder="0" applyAlignment="0" applyProtection="0"/>
    <xf numFmtId="0" fontId="9" fillId="0" borderId="0" applyFont="0" applyFill="0" applyBorder="0" applyAlignment="0" applyProtection="0"/>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173" fontId="33" fillId="0" borderId="0">
      <alignment horizontal="left" wrapText="1"/>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173" fontId="33" fillId="0" borderId="0">
      <alignment horizontal="left" wrapText="1"/>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0" fontId="9" fillId="0" borderId="0" applyFont="0" applyFill="0" applyBorder="0" applyAlignment="0" applyProtection="0"/>
    <xf numFmtId="0" fontId="9" fillId="0" borderId="0" applyFont="0" applyFill="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21" fillId="5" borderId="0" applyNumberFormat="0" applyBorder="0" applyAlignment="0" applyProtection="0"/>
    <xf numFmtId="0" fontId="84" fillId="5" borderId="0" applyNumberFormat="0" applyBorder="0" applyAlignment="0" applyProtection="0"/>
    <xf numFmtId="173" fontId="33" fillId="0" borderId="0">
      <alignment horizontal="left" wrapText="1"/>
    </xf>
    <xf numFmtId="173" fontId="33" fillId="0" borderId="0">
      <alignment horizontal="left" wrapText="1"/>
    </xf>
    <xf numFmtId="0" fontId="85" fillId="4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37" fontId="86" fillId="0" borderId="0"/>
    <xf numFmtId="37" fontId="86" fillId="0" borderId="0"/>
    <xf numFmtId="173" fontId="33" fillId="0" borderId="0">
      <alignment horizontal="left" wrapText="1"/>
    </xf>
    <xf numFmtId="173" fontId="33" fillId="0" borderId="0">
      <alignment horizontal="left" wrapText="1"/>
    </xf>
    <xf numFmtId="37" fontId="86" fillId="0" borderId="0"/>
    <xf numFmtId="190" fontId="87"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2" fontId="33" fillId="0" borderId="0"/>
    <xf numFmtId="192" fontId="33" fillId="0" borderId="0"/>
    <xf numFmtId="190" fontId="87" fillId="0" borderId="0"/>
    <xf numFmtId="0" fontId="9" fillId="0" borderId="0"/>
    <xf numFmtId="190" fontId="87" fillId="0" borderId="0"/>
    <xf numFmtId="193" fontId="9" fillId="0" borderId="0"/>
    <xf numFmtId="173" fontId="33" fillId="0" borderId="0">
      <alignment horizontal="left" wrapText="1"/>
    </xf>
    <xf numFmtId="173" fontId="33" fillId="0" borderId="0">
      <alignment horizontal="left" wrapText="1"/>
    </xf>
    <xf numFmtId="173" fontId="33" fillId="0" borderId="0">
      <alignment horizontal="left" wrapText="1"/>
    </xf>
    <xf numFmtId="192" fontId="33" fillId="0" borderId="0"/>
    <xf numFmtId="194" fontId="9" fillId="0" borderId="0"/>
    <xf numFmtId="195" fontId="47" fillId="0" borderId="0"/>
    <xf numFmtId="174" fontId="9" fillId="0" borderId="0">
      <alignment horizontal="left" wrapText="1"/>
    </xf>
    <xf numFmtId="174" fontId="9" fillId="0" borderId="0">
      <alignment horizontal="left" wrapText="1"/>
    </xf>
    <xf numFmtId="0" fontId="1"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9" fillId="0" borderId="0" applyFill="0" applyBorder="0" applyAlignment="0" applyProtection="0"/>
    <xf numFmtId="0" fontId="1" fillId="0" borderId="0"/>
    <xf numFmtId="0" fontId="9" fillId="0" borderId="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1" fillId="0" borderId="0"/>
    <xf numFmtId="0" fontId="9" fillId="0" borderId="0"/>
    <xf numFmtId="0" fontId="1" fillId="0" borderId="0"/>
    <xf numFmtId="0" fontId="1" fillId="0" borderId="0"/>
    <xf numFmtId="173" fontId="9" fillId="0" borderId="0">
      <alignment horizontal="left" wrapText="1"/>
    </xf>
    <xf numFmtId="0" fontId="1" fillId="0" borderId="0"/>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0" fontId="9" fillId="0" borderId="0"/>
    <xf numFmtId="191" fontId="33" fillId="0" borderId="0">
      <alignment horizontal="left" wrapText="1"/>
    </xf>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9" fillId="0" borderId="0"/>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191" fontId="33" fillId="0" borderId="0">
      <alignment horizontal="left" wrapText="1"/>
    </xf>
    <xf numFmtId="0" fontId="9" fillId="0" borderId="0"/>
    <xf numFmtId="173" fontId="33" fillId="0" borderId="0">
      <alignment horizontal="left" wrapText="1"/>
    </xf>
    <xf numFmtId="0" fontId="9" fillId="0" borderId="0"/>
    <xf numFmtId="191" fontId="33" fillId="0" borderId="0">
      <alignment horizontal="left" wrapText="1"/>
    </xf>
    <xf numFmtId="173" fontId="9"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1" fontId="33" fillId="0" borderId="0">
      <alignment horizontal="left" wrapText="1"/>
    </xf>
    <xf numFmtId="191" fontId="33"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91" fontId="33" fillId="0" borderId="0">
      <alignment horizontal="left" wrapText="1"/>
    </xf>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8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9" fillId="0" borderId="0"/>
    <xf numFmtId="0" fontId="38" fillId="0" borderId="0"/>
    <xf numFmtId="0" fontId="38" fillId="0" borderId="0"/>
    <xf numFmtId="0" fontId="38"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46" fillId="0" borderId="0"/>
    <xf numFmtId="173" fontId="33" fillId="0" borderId="0">
      <alignment horizontal="left" wrapText="1"/>
    </xf>
    <xf numFmtId="0" fontId="38" fillId="0" borderId="0"/>
    <xf numFmtId="0" fontId="38" fillId="0" borderId="0"/>
    <xf numFmtId="0" fontId="46" fillId="0" borderId="0"/>
    <xf numFmtId="0" fontId="38" fillId="0" borderId="0"/>
    <xf numFmtId="0" fontId="38" fillId="0" borderId="0"/>
    <xf numFmtId="0" fontId="46"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96" fontId="9" fillId="0" borderId="0">
      <alignment horizontal="left" wrapText="1"/>
    </xf>
    <xf numFmtId="196" fontId="9" fillId="0" borderId="0">
      <alignment horizontal="left" wrapText="1"/>
    </xf>
    <xf numFmtId="173" fontId="33" fillId="0" borderId="0">
      <alignment horizontal="left" wrapText="1"/>
    </xf>
    <xf numFmtId="196"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6"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7"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33" fillId="0" borderId="0"/>
    <xf numFmtId="198"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173" fontId="33" fillId="0" borderId="0">
      <alignment horizontal="left" wrapText="1"/>
    </xf>
    <xf numFmtId="199" fontId="9" fillId="0" borderId="0">
      <alignment horizontal="left" wrapText="1"/>
    </xf>
    <xf numFmtId="0" fontId="1" fillId="0" borderId="0"/>
    <xf numFmtId="0" fontId="1" fillId="0" borderId="0"/>
    <xf numFmtId="0" fontId="1" fillId="0" borderId="0"/>
    <xf numFmtId="0" fontId="9" fillId="0" borderId="0"/>
    <xf numFmtId="167" fontId="9" fillId="0" borderId="0">
      <alignment horizontal="left" wrapText="1"/>
    </xf>
    <xf numFmtId="167" fontId="9" fillId="0" borderId="0">
      <alignment horizontal="left" wrapText="1"/>
    </xf>
    <xf numFmtId="0" fontId="38" fillId="0" borderId="0"/>
    <xf numFmtId="167"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173" fontId="33" fillId="0" borderId="0">
      <alignment horizontal="left" wrapText="1"/>
    </xf>
    <xf numFmtId="0" fontId="9" fillId="0" borderId="0"/>
    <xf numFmtId="0" fontId="9" fillId="0" borderId="0"/>
    <xf numFmtId="0" fontId="1" fillId="0" borderId="0"/>
    <xf numFmtId="0" fontId="9" fillId="0" borderId="0"/>
    <xf numFmtId="0" fontId="9" fillId="0" borderId="0"/>
    <xf numFmtId="0" fontId="33"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58" fillId="0" borderId="0"/>
    <xf numFmtId="173" fontId="9" fillId="0" borderId="0">
      <alignment horizontal="left" wrapText="1"/>
    </xf>
    <xf numFmtId="173" fontId="33" fillId="0" borderId="0">
      <alignment horizontal="left" wrapText="1"/>
    </xf>
    <xf numFmtId="173" fontId="9" fillId="0" borderId="0">
      <alignment horizontal="left" wrapText="1"/>
    </xf>
    <xf numFmtId="39" fontId="89" fillId="0" borderId="0" applyNumberFormat="0" applyFill="0" applyBorder="0" applyAlignment="0" applyProtection="0"/>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0" fontId="46" fillId="0" borderId="0"/>
    <xf numFmtId="0" fontId="46" fillId="0" borderId="0"/>
    <xf numFmtId="0" fontId="46" fillId="0" borderId="0"/>
    <xf numFmtId="0" fontId="46" fillId="0" borderId="0"/>
    <xf numFmtId="173" fontId="33" fillId="0" borderId="0">
      <alignment horizontal="left" wrapText="1"/>
    </xf>
    <xf numFmtId="0" fontId="9" fillId="0" borderId="0"/>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200" fontId="9" fillId="0" borderId="0">
      <alignment horizontal="left" wrapText="1"/>
    </xf>
    <xf numFmtId="0" fontId="9" fillId="0" borderId="0"/>
    <xf numFmtId="0" fontId="1" fillId="0" borderId="0"/>
    <xf numFmtId="0" fontId="9" fillId="0" borderId="0"/>
    <xf numFmtId="0" fontId="9" fillId="0" borderId="0"/>
    <xf numFmtId="0" fontId="38"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5" fontId="33" fillId="0" borderId="0">
      <alignment horizontal="left" wrapText="1"/>
    </xf>
    <xf numFmtId="175" fontId="33" fillId="0" borderId="0">
      <alignment horizontal="left" wrapText="1"/>
    </xf>
    <xf numFmtId="0" fontId="9" fillId="0" borderId="0"/>
    <xf numFmtId="0" fontId="9" fillId="0" borderId="0"/>
    <xf numFmtId="0" fontId="1" fillId="0" borderId="0"/>
    <xf numFmtId="0" fontId="1" fillId="0" borderId="0"/>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1" fillId="0" borderId="0"/>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0" fontId="9" fillId="0" borderId="0"/>
    <xf numFmtId="0" fontId="1" fillId="0" borderId="0"/>
    <xf numFmtId="0" fontId="1" fillId="0" borderId="0"/>
    <xf numFmtId="0" fontId="88" fillId="0" borderId="0"/>
    <xf numFmtId="201"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1" fillId="0" borderId="0"/>
    <xf numFmtId="0" fontId="1" fillId="0" borderId="0"/>
    <xf numFmtId="0" fontId="1" fillId="0" borderId="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173" fontId="33" fillId="0" borderId="0">
      <alignment horizontal="left" wrapText="1"/>
    </xf>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173" fontId="33" fillId="0" borderId="0">
      <alignment horizontal="left" wrapText="1"/>
    </xf>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23" fillId="7" borderId="10" applyNumberFormat="0" applyAlignment="0" applyProtection="0"/>
    <xf numFmtId="0" fontId="23" fillId="69" borderId="10" applyNumberFormat="0" applyAlignment="0" applyProtection="0"/>
    <xf numFmtId="173" fontId="33" fillId="0" borderId="0">
      <alignment horizontal="left" wrapText="1"/>
    </xf>
    <xf numFmtId="173" fontId="33" fillId="0" borderId="0">
      <alignment horizontal="left" wrapText="1"/>
    </xf>
    <xf numFmtId="0" fontId="90" fillId="69" borderId="35" applyNumberFormat="0" applyAlignment="0" applyProtection="0"/>
    <xf numFmtId="0" fontId="23" fillId="69" borderId="10" applyNumberFormat="0" applyAlignment="0" applyProtection="0"/>
    <xf numFmtId="0" fontId="23" fillId="69" borderId="10" applyNumberFormat="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0" fillId="0" borderId="0"/>
    <xf numFmtId="0" fontId="52" fillId="0" borderId="0"/>
    <xf numFmtId="2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9" fontId="58" fillId="0" borderId="0" applyFont="0" applyFill="0" applyBorder="0" applyAlignment="0" applyProtection="0"/>
    <xf numFmtId="9" fontId="5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59"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0" fontId="9" fillId="0" borderId="28"/>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9" fontId="38"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1" fillId="0" borderId="0" applyFont="0" applyFill="0" applyBorder="0" applyAlignment="0" applyProtection="0"/>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9" fontId="45" fillId="0" borderId="0" applyFont="0" applyFill="0" applyBorder="0" applyAlignment="0" applyProtection="0"/>
    <xf numFmtId="173" fontId="33" fillId="0" borderId="0">
      <alignment horizontal="left" wrapText="1"/>
    </xf>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10" fontId="9" fillId="0" borderId="28"/>
    <xf numFmtId="173" fontId="33" fillId="0" borderId="0">
      <alignment horizontal="left" wrapText="1"/>
    </xf>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3"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41" fontId="9" fillId="77" borderId="28"/>
    <xf numFmtId="41" fontId="9" fillId="77" borderId="28"/>
    <xf numFmtId="173" fontId="33" fillId="0" borderId="0">
      <alignment horizontal="left" wrapText="1"/>
    </xf>
    <xf numFmtId="41" fontId="9" fillId="77" borderId="28"/>
    <xf numFmtId="41" fontId="9" fillId="77" borderId="28"/>
    <xf numFmtId="173" fontId="33" fillId="0" borderId="0">
      <alignment horizontal="left" wrapText="1"/>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73" fontId="33" fillId="0" borderId="0">
      <alignment horizontal="left" wrapText="1"/>
    </xf>
    <xf numFmtId="173" fontId="33" fillId="0" borderId="0">
      <alignment horizontal="left" wrapText="1"/>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73" fontId="33" fillId="0" borderId="0">
      <alignment horizontal="left" wrapText="1"/>
    </xf>
    <xf numFmtId="173" fontId="33" fillId="0" borderId="0">
      <alignment horizontal="left" wrapText="1"/>
    </xf>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173" fontId="33" fillId="0" borderId="0">
      <alignment horizontal="left" wrapText="1"/>
    </xf>
    <xf numFmtId="173" fontId="33" fillId="0" borderId="0">
      <alignment horizontal="left" wrapText="1"/>
    </xf>
    <xf numFmtId="4" fontId="46" fillId="0" borderId="0" applyFont="0" applyFill="0" applyBorder="0" applyAlignment="0" applyProtection="0"/>
    <xf numFmtId="0" fontId="91" fillId="0" borderId="20">
      <alignment horizontal="center"/>
    </xf>
    <xf numFmtId="0" fontId="91" fillId="0" borderId="20">
      <alignment horizontal="center"/>
    </xf>
    <xf numFmtId="173" fontId="33" fillId="0" borderId="0">
      <alignment horizontal="left" wrapText="1"/>
    </xf>
    <xf numFmtId="173" fontId="33" fillId="0" borderId="0">
      <alignment horizontal="left" wrapText="1"/>
    </xf>
    <xf numFmtId="0" fontId="91" fillId="0" borderId="20">
      <alignment horizontal="center"/>
    </xf>
    <xf numFmtId="3" fontId="46" fillId="0" borderId="0" applyFont="0" applyFill="0" applyBorder="0" applyAlignment="0" applyProtection="0"/>
    <xf numFmtId="3" fontId="46" fillId="0" borderId="0" applyFont="0" applyFill="0" applyBorder="0" applyAlignment="0" applyProtection="0"/>
    <xf numFmtId="173" fontId="33" fillId="0" borderId="0">
      <alignment horizontal="left" wrapText="1"/>
    </xf>
    <xf numFmtId="173" fontId="33" fillId="0" borderId="0">
      <alignment horizontal="left" wrapText="1"/>
    </xf>
    <xf numFmtId="3" fontId="46" fillId="0" borderId="0" applyFont="0" applyFill="0" applyBorder="0" applyAlignment="0" applyProtection="0"/>
    <xf numFmtId="0" fontId="46" fillId="78" borderId="0" applyNumberFormat="0" applyFont="0" applyBorder="0" applyAlignment="0" applyProtection="0"/>
    <xf numFmtId="0" fontId="46" fillId="78" borderId="0" applyNumberFormat="0" applyFont="0" applyBorder="0" applyAlignment="0" applyProtection="0"/>
    <xf numFmtId="173" fontId="33" fillId="0" borderId="0">
      <alignment horizontal="left" wrapText="1"/>
    </xf>
    <xf numFmtId="173" fontId="33" fillId="0" borderId="0">
      <alignment horizontal="left" wrapText="1"/>
    </xf>
    <xf numFmtId="0" fontId="46" fillId="78" borderId="0" applyNumberFormat="0" applyFont="0" applyBorder="0" applyAlignment="0" applyProtection="0"/>
    <xf numFmtId="0" fontId="51" fillId="0" borderId="0"/>
    <xf numFmtId="0" fontId="52" fillId="0" borderId="0"/>
    <xf numFmtId="0" fontId="52" fillId="0" borderId="0"/>
    <xf numFmtId="0" fontId="51" fillId="0" borderId="0"/>
    <xf numFmtId="0" fontId="52" fillId="0" borderId="0"/>
    <xf numFmtId="3" fontId="92" fillId="0" borderId="0" applyFill="0" applyBorder="0" applyAlignment="0" applyProtection="0"/>
    <xf numFmtId="0" fontId="93" fillId="0" borderId="0"/>
    <xf numFmtId="0" fontId="94" fillId="0" borderId="0"/>
    <xf numFmtId="0" fontId="94" fillId="0" borderId="0"/>
    <xf numFmtId="0" fontId="93" fillId="0" borderId="0"/>
    <xf numFmtId="0" fontId="94" fillId="0" borderId="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173" fontId="33" fillId="0" borderId="0">
      <alignment horizontal="left" wrapText="1"/>
    </xf>
    <xf numFmtId="173" fontId="33" fillId="0" borderId="0">
      <alignment horizontal="left" wrapText="1"/>
    </xf>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42" fontId="9" fillId="67" borderId="0"/>
    <xf numFmtId="0" fontId="50" fillId="79" borderId="0"/>
    <xf numFmtId="0" fontId="95" fillId="79" borderId="29"/>
    <xf numFmtId="0" fontId="96" fillId="80" borderId="3"/>
    <xf numFmtId="0" fontId="97" fillId="79" borderId="36"/>
    <xf numFmtId="42" fontId="9" fillId="67" borderId="0"/>
    <xf numFmtId="173" fontId="33" fillId="0" borderId="0">
      <alignment horizontal="left" wrapText="1"/>
    </xf>
    <xf numFmtId="42" fontId="9" fillId="67" borderId="0"/>
    <xf numFmtId="173" fontId="33" fillId="0" borderId="0">
      <alignment horizontal="left" wrapText="1"/>
    </xf>
    <xf numFmtId="42" fontId="9" fillId="67" borderId="0"/>
    <xf numFmtId="42" fontId="9" fillId="67" borderId="0"/>
    <xf numFmtId="42" fontId="9" fillId="67" borderId="37">
      <alignment vertical="center"/>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0" fontId="14" fillId="67" borderId="1" applyNumberFormat="0">
      <alignment horizontal="center" vertical="center" wrapText="1"/>
    </xf>
    <xf numFmtId="0" fontId="14" fillId="67" borderId="38" applyNumberFormat="0">
      <alignment horizontal="center" vertical="center" wrapText="1"/>
    </xf>
    <xf numFmtId="0" fontId="14" fillId="67" borderId="1" applyNumberFormat="0">
      <alignment horizontal="center" vertical="center" wrapText="1"/>
    </xf>
    <xf numFmtId="173" fontId="33" fillId="0" borderId="0">
      <alignment horizontal="left" wrapText="1"/>
    </xf>
    <xf numFmtId="10" fontId="9" fillId="67" borderId="0"/>
    <xf numFmtId="10" fontId="9" fillId="67" borderId="0"/>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0" fontId="9" fillId="67" borderId="0"/>
    <xf numFmtId="201" fontId="9" fillId="67" borderId="0"/>
    <xf numFmtId="201" fontId="9" fillId="67" borderId="0"/>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201" fontId="9" fillId="67" borderId="0"/>
    <xf numFmtId="42" fontId="9" fillId="67" borderId="0"/>
    <xf numFmtId="165" fontId="76" fillId="0" borderId="0" applyBorder="0" applyAlignment="0"/>
    <xf numFmtId="165" fontId="76" fillId="0" borderId="0" applyBorder="0" applyAlignment="0"/>
    <xf numFmtId="165" fontId="76" fillId="0" borderId="0" applyBorder="0" applyAlignment="0"/>
    <xf numFmtId="42" fontId="9" fillId="67" borderId="2">
      <alignment horizontal="left"/>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201" fontId="98" fillId="67" borderId="2">
      <alignment horizontal="left"/>
    </xf>
    <xf numFmtId="173" fontId="33" fillId="0" borderId="0">
      <alignment horizontal="left" wrapText="1"/>
    </xf>
    <xf numFmtId="201" fontId="98" fillId="67" borderId="2">
      <alignment horizontal="left"/>
    </xf>
    <xf numFmtId="165" fontId="76" fillId="0" borderId="0" applyBorder="0" applyAlignment="0"/>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03" fontId="9" fillId="0" borderId="0" applyFont="0" applyFill="0" applyAlignment="0">
      <alignment horizontal="right"/>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4" fontId="11" fillId="76" borderId="35" applyNumberFormat="0" applyProtection="0">
      <alignment vertical="center"/>
    </xf>
    <xf numFmtId="173" fontId="33" fillId="0" borderId="0">
      <alignment horizontal="left" wrapText="1"/>
    </xf>
    <xf numFmtId="4" fontId="11" fillId="76" borderId="35" applyNumberFormat="0" applyProtection="0">
      <alignment vertical="center"/>
    </xf>
    <xf numFmtId="4" fontId="99" fillId="76" borderId="35" applyNumberFormat="0" applyProtection="0">
      <alignment vertical="center"/>
    </xf>
    <xf numFmtId="173" fontId="33" fillId="0" borderId="0">
      <alignment horizontal="left" wrapText="1"/>
    </xf>
    <xf numFmtId="4" fontId="99" fillId="76" borderId="35" applyNumberFormat="0" applyProtection="0">
      <alignment vertical="center"/>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2"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173" fontId="33" fillId="0" borderId="0">
      <alignment horizontal="left" wrapText="1"/>
    </xf>
    <xf numFmtId="4" fontId="11" fillId="83" borderId="35" applyNumberFormat="0" applyProtection="0">
      <alignment horizontal="right" vertical="center"/>
    </xf>
    <xf numFmtId="4" fontId="11" fillId="84" borderId="35" applyNumberFormat="0" applyProtection="0">
      <alignment horizontal="right" vertical="center"/>
    </xf>
    <xf numFmtId="173" fontId="33" fillId="0" borderId="0">
      <alignment horizontal="left" wrapText="1"/>
    </xf>
    <xf numFmtId="4" fontId="11" fillId="84" borderId="35" applyNumberFormat="0" applyProtection="0">
      <alignment horizontal="right" vertical="center"/>
    </xf>
    <xf numFmtId="4" fontId="11" fillId="85" borderId="35" applyNumberFormat="0" applyProtection="0">
      <alignment horizontal="right" vertical="center"/>
    </xf>
    <xf numFmtId="173" fontId="33" fillId="0" borderId="0">
      <alignment horizontal="left" wrapText="1"/>
    </xf>
    <xf numFmtId="4" fontId="11" fillId="85" borderId="35" applyNumberFormat="0" applyProtection="0">
      <alignment horizontal="right" vertical="center"/>
    </xf>
    <xf numFmtId="4" fontId="11" fillId="86" borderId="35" applyNumberFormat="0" applyProtection="0">
      <alignment horizontal="right" vertical="center"/>
    </xf>
    <xf numFmtId="173" fontId="33" fillId="0" borderId="0">
      <alignment horizontal="left" wrapText="1"/>
    </xf>
    <xf numFmtId="4" fontId="11" fillId="86" borderId="35" applyNumberFormat="0" applyProtection="0">
      <alignment horizontal="right" vertical="center"/>
    </xf>
    <xf numFmtId="4" fontId="11" fillId="87" borderId="35" applyNumberFormat="0" applyProtection="0">
      <alignment horizontal="right" vertical="center"/>
    </xf>
    <xf numFmtId="173" fontId="33" fillId="0" borderId="0">
      <alignment horizontal="left" wrapText="1"/>
    </xf>
    <xf numFmtId="4" fontId="11" fillId="87" borderId="35" applyNumberFormat="0" applyProtection="0">
      <alignment horizontal="right" vertical="center"/>
    </xf>
    <xf numFmtId="4" fontId="11" fillId="88" borderId="35" applyNumberFormat="0" applyProtection="0">
      <alignment horizontal="right" vertical="center"/>
    </xf>
    <xf numFmtId="173" fontId="33" fillId="0" borderId="0">
      <alignment horizontal="left" wrapText="1"/>
    </xf>
    <xf numFmtId="4" fontId="11" fillId="88" borderId="35" applyNumberFormat="0" applyProtection="0">
      <alignment horizontal="right" vertical="center"/>
    </xf>
    <xf numFmtId="4" fontId="11" fillId="89" borderId="35" applyNumberFormat="0" applyProtection="0">
      <alignment horizontal="right" vertical="center"/>
    </xf>
    <xf numFmtId="173" fontId="33" fillId="0" borderId="0">
      <alignment horizontal="left" wrapText="1"/>
    </xf>
    <xf numFmtId="4" fontId="11" fillId="89" borderId="35" applyNumberFormat="0" applyProtection="0">
      <alignment horizontal="right" vertical="center"/>
    </xf>
    <xf numFmtId="4" fontId="11" fillId="90" borderId="35" applyNumberFormat="0" applyProtection="0">
      <alignment horizontal="right" vertical="center"/>
    </xf>
    <xf numFmtId="173" fontId="33" fillId="0" borderId="0">
      <alignment horizontal="left" wrapText="1"/>
    </xf>
    <xf numFmtId="4" fontId="11" fillId="90" borderId="35" applyNumberFormat="0" applyProtection="0">
      <alignment horizontal="right" vertical="center"/>
    </xf>
    <xf numFmtId="4" fontId="11" fillId="91" borderId="35" applyNumberFormat="0" applyProtection="0">
      <alignment horizontal="right" vertical="center"/>
    </xf>
    <xf numFmtId="173" fontId="33" fillId="0" borderId="0">
      <alignment horizontal="left" wrapText="1"/>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3" borderId="0" applyNumberFormat="0" applyProtection="0">
      <alignment horizontal="left" vertical="center" indent="1"/>
    </xf>
    <xf numFmtId="4" fontId="12" fillId="93" borderId="0" applyNumberFormat="0" applyProtection="0">
      <alignment horizontal="left" vertical="center" indent="1"/>
    </xf>
    <xf numFmtId="4" fontId="12" fillId="92" borderId="35" applyNumberFormat="0" applyProtection="0">
      <alignment horizontal="left" vertical="center" indent="1"/>
    </xf>
    <xf numFmtId="4" fontId="11" fillId="94" borderId="39" applyNumberFormat="0" applyProtection="0">
      <alignment horizontal="left" vertical="center" indent="1"/>
    </xf>
    <xf numFmtId="4" fontId="11" fillId="94" borderId="0" applyNumberFormat="0" applyProtection="0">
      <alignment horizontal="left" vertical="center" indent="1"/>
    </xf>
    <xf numFmtId="4" fontId="11" fillId="94"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01" fillId="0" borderId="0"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01" fillId="0" borderId="0"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69" borderId="27" applyNumberFormat="0">
      <protection locked="0"/>
    </xf>
    <xf numFmtId="0" fontId="9" fillId="69" borderId="27" applyNumberFormat="0">
      <protection locked="0"/>
    </xf>
    <xf numFmtId="173" fontId="33" fillId="0" borderId="0">
      <alignment horizontal="left" wrapText="1"/>
    </xf>
    <xf numFmtId="173" fontId="33" fillId="0" borderId="0">
      <alignment horizontal="left" wrapText="1"/>
    </xf>
    <xf numFmtId="0" fontId="76" fillId="64" borderId="40" applyBorder="0"/>
    <xf numFmtId="4" fontId="11" fillId="98" borderId="35" applyNumberFormat="0" applyProtection="0">
      <alignment vertical="center"/>
    </xf>
    <xf numFmtId="173" fontId="33" fillId="0" borderId="0">
      <alignment horizontal="left" wrapText="1"/>
    </xf>
    <xf numFmtId="4" fontId="11" fillId="98" borderId="35" applyNumberFormat="0" applyProtection="0">
      <alignment vertical="center"/>
    </xf>
    <xf numFmtId="4" fontId="99" fillId="98" borderId="35" applyNumberFormat="0" applyProtection="0">
      <alignment vertical="center"/>
    </xf>
    <xf numFmtId="173" fontId="33" fillId="0" borderId="0">
      <alignment horizontal="left" wrapText="1"/>
    </xf>
    <xf numFmtId="4" fontId="99" fillId="98" borderId="35" applyNumberFormat="0" applyProtection="0">
      <alignment vertical="center"/>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173" fontId="33" fillId="0" borderId="0">
      <alignment horizontal="left" wrapText="1"/>
    </xf>
    <xf numFmtId="4" fontId="11" fillId="94" borderId="35" applyNumberFormat="0" applyProtection="0">
      <alignment horizontal="right" vertical="center"/>
    </xf>
    <xf numFmtId="4" fontId="99" fillId="94" borderId="35" applyNumberFormat="0" applyProtection="0">
      <alignment horizontal="right" vertical="center"/>
    </xf>
    <xf numFmtId="173" fontId="33" fillId="0" borderId="0">
      <alignment horizontal="left" wrapText="1"/>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102" fillId="0" borderId="0"/>
    <xf numFmtId="0" fontId="102" fillId="0" borderId="0"/>
    <xf numFmtId="0" fontId="103" fillId="0" borderId="0" applyNumberFormat="0" applyProtection="0">
      <alignment horizontal="left" indent="5"/>
    </xf>
    <xf numFmtId="0" fontId="65" fillId="99" borderId="27"/>
    <xf numFmtId="4" fontId="104" fillId="94" borderId="35" applyNumberFormat="0" applyProtection="0">
      <alignment horizontal="right" vertical="center"/>
    </xf>
    <xf numFmtId="173" fontId="33" fillId="0" borderId="0">
      <alignment horizontal="left" wrapText="1"/>
    </xf>
    <xf numFmtId="4" fontId="104" fillId="94" borderId="35" applyNumberFormat="0" applyProtection="0">
      <alignment horizontal="right" vertical="center"/>
    </xf>
    <xf numFmtId="39" fontId="9" fillId="100" borderId="0"/>
    <xf numFmtId="39" fontId="9" fillId="100" borderId="0"/>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39" fontId="9" fillId="100" borderId="0"/>
    <xf numFmtId="0" fontId="105" fillId="0" borderId="0" applyNumberFormat="0" applyFill="0" applyBorder="0" applyAlignment="0" applyProtection="0"/>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173" fontId="33" fillId="0" borderId="0">
      <alignment horizontal="left" wrapText="1"/>
    </xf>
    <xf numFmtId="38" fontId="65" fillId="0" borderId="41"/>
    <xf numFmtId="0" fontId="65" fillId="0" borderId="41"/>
    <xf numFmtId="38" fontId="65" fillId="0" borderId="41"/>
    <xf numFmtId="38" fontId="65" fillId="0" borderId="41"/>
    <xf numFmtId="38" fontId="65" fillId="0" borderId="41"/>
    <xf numFmtId="38" fontId="76" fillId="0" borderId="2"/>
    <xf numFmtId="38" fontId="76" fillId="0" borderId="2"/>
    <xf numFmtId="38" fontId="76" fillId="0" borderId="2"/>
    <xf numFmtId="38" fontId="76" fillId="0" borderId="2"/>
    <xf numFmtId="173" fontId="33" fillId="0" borderId="0">
      <alignment horizontal="left" wrapText="1"/>
    </xf>
    <xf numFmtId="0" fontId="76" fillId="0" borderId="2"/>
    <xf numFmtId="0" fontId="76" fillId="0" borderId="2"/>
    <xf numFmtId="0" fontId="76" fillId="0" borderId="2"/>
    <xf numFmtId="38" fontId="76" fillId="0" borderId="2"/>
    <xf numFmtId="38" fontId="76" fillId="0" borderId="2"/>
    <xf numFmtId="38" fontId="76" fillId="0" borderId="2"/>
    <xf numFmtId="38" fontId="76" fillId="0" borderId="2"/>
    <xf numFmtId="39" fontId="33" fillId="101" borderId="0"/>
    <xf numFmtId="39" fontId="33" fillId="101" borderId="0"/>
    <xf numFmtId="173" fontId="9" fillId="0" borderId="0">
      <alignment horizontal="left" wrapText="1"/>
    </xf>
    <xf numFmtId="204" fontId="9" fillId="0" borderId="0">
      <alignment horizontal="left" wrapText="1"/>
    </xf>
    <xf numFmtId="196"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201" fontId="9" fillId="0" borderId="0">
      <alignment horizontal="left" wrapText="1"/>
    </xf>
    <xf numFmtId="201" fontId="9" fillId="0" borderId="0">
      <alignment horizontal="left" wrapText="1"/>
    </xf>
    <xf numFmtId="201" fontId="9" fillId="0" borderId="0">
      <alignment horizontal="left" wrapText="1"/>
    </xf>
    <xf numFmtId="202" fontId="9" fillId="0" borderId="0">
      <alignment horizontal="left" wrapText="1"/>
    </xf>
    <xf numFmtId="201" fontId="9" fillId="0" borderId="0">
      <alignment horizontal="left" wrapText="1"/>
    </xf>
    <xf numFmtId="201"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99" fontId="9" fillId="0" borderId="0">
      <alignment horizontal="left" wrapText="1"/>
    </xf>
    <xf numFmtId="199" fontId="9" fillId="0" borderId="0">
      <alignment horizontal="left" wrapText="1"/>
    </xf>
    <xf numFmtId="173" fontId="33" fillId="0" borderId="0">
      <alignment horizontal="left" wrapText="1"/>
    </xf>
    <xf numFmtId="173" fontId="33" fillId="0" borderId="0">
      <alignment horizontal="left" wrapText="1"/>
    </xf>
    <xf numFmtId="199" fontId="9" fillId="0" borderId="0">
      <alignment horizontal="left" wrapText="1"/>
    </xf>
    <xf numFmtId="204" fontId="9" fillId="0" borderId="0">
      <alignment horizontal="left" wrapText="1"/>
    </xf>
    <xf numFmtId="204" fontId="9" fillId="0" borderId="0">
      <alignment horizontal="left" wrapText="1"/>
    </xf>
    <xf numFmtId="173" fontId="33"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202" fontId="9" fillId="0" borderId="0">
      <alignment horizontal="left" wrapText="1"/>
    </xf>
    <xf numFmtId="202" fontId="9" fillId="0" borderId="0">
      <alignment horizontal="left" wrapText="1"/>
    </xf>
    <xf numFmtId="197" fontId="9" fillId="0" borderId="0">
      <alignment horizontal="left" wrapText="1"/>
    </xf>
    <xf numFmtId="173" fontId="9" fillId="0" borderId="0">
      <alignment horizontal="left" wrapText="1"/>
    </xf>
    <xf numFmtId="202" fontId="9" fillId="0" borderId="0">
      <alignment horizontal="left" wrapText="1"/>
    </xf>
    <xf numFmtId="173" fontId="9" fillId="0" borderId="0">
      <alignment horizontal="left" wrapText="1"/>
    </xf>
    <xf numFmtId="0" fontId="9" fillId="0" borderId="0">
      <alignment horizontal="left" wrapText="1"/>
    </xf>
    <xf numFmtId="0" fontId="11" fillId="0" borderId="0" applyNumberFormat="0" applyBorder="0" applyAlignment="0"/>
    <xf numFmtId="0" fontId="106" fillId="0" borderId="0" applyNumberFormat="0" applyBorder="0" applyAlignment="0"/>
    <xf numFmtId="0" fontId="12" fillId="0" borderId="0" applyNumberFormat="0" applyBorder="0" applyAlignment="0"/>
    <xf numFmtId="0" fontId="107" fillId="0" borderId="0"/>
    <xf numFmtId="0" fontId="66" fillId="0" borderId="36"/>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0" fontId="110" fillId="0" borderId="0"/>
    <xf numFmtId="0" fontId="9" fillId="0" borderId="0" applyNumberFormat="0" applyBorder="0" applyAlignment="0"/>
    <xf numFmtId="0" fontId="111" fillId="0" borderId="0" applyFill="0" applyBorder="0" applyProtection="0">
      <alignment horizontal="left" vertical="top"/>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173" fontId="33" fillId="0" borderId="0">
      <alignment horizontal="left" wrapText="1"/>
    </xf>
    <xf numFmtId="173" fontId="33" fillId="0" borderId="0">
      <alignment horizontal="left" wrapText="1"/>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0" fillId="0" borderId="0"/>
    <xf numFmtId="0" fontId="95" fillId="79" borderId="0"/>
    <xf numFmtId="166" fontId="113" fillId="67" borderId="0">
      <alignment horizontal="left" vertical="center"/>
    </xf>
    <xf numFmtId="166" fontId="114" fillId="0" borderId="0">
      <alignment horizontal="left" vertical="center"/>
    </xf>
    <xf numFmtId="166" fontId="114" fillId="0" borderId="0">
      <alignment horizontal="left" vertical="center"/>
    </xf>
    <xf numFmtId="0" fontId="14" fillId="67" borderId="0">
      <alignment horizontal="left" wrapText="1"/>
    </xf>
    <xf numFmtId="0" fontId="14" fillId="67" borderId="0">
      <alignment horizontal="left" wrapText="1"/>
    </xf>
    <xf numFmtId="0" fontId="14" fillId="67" borderId="0">
      <alignment horizontal="left" wrapText="1"/>
    </xf>
    <xf numFmtId="173" fontId="33" fillId="0" borderId="0">
      <alignment horizontal="left" wrapText="1"/>
    </xf>
    <xf numFmtId="0" fontId="115" fillId="0" borderId="0">
      <alignment horizontal="left" vertical="center"/>
    </xf>
    <xf numFmtId="0" fontId="115" fillId="0" borderId="0">
      <alignment horizontal="left" vertical="center"/>
    </xf>
    <xf numFmtId="0" fontId="53" fillId="0" borderId="42" applyNumberFormat="0" applyFon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0" fontId="29" fillId="0" borderId="44"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41" fontId="14" fillId="67" borderId="0">
      <alignment horizontal="left"/>
    </xf>
    <xf numFmtId="173" fontId="33" fillId="0" borderId="0">
      <alignment horizontal="left" wrapText="1"/>
    </xf>
    <xf numFmtId="173" fontId="33" fillId="0" borderId="0">
      <alignment horizontal="left" wrapText="1"/>
    </xf>
    <xf numFmtId="41" fontId="14" fillId="67" borderId="0">
      <alignment horizontal="left"/>
    </xf>
    <xf numFmtId="0" fontId="29" fillId="0" borderId="44" applyNumberFormat="0" applyFill="0" applyAlignment="0" applyProtection="0"/>
    <xf numFmtId="0" fontId="29" fillId="0" borderId="14" applyNumberFormat="0" applyFill="0" applyAlignment="0" applyProtection="0"/>
    <xf numFmtId="0" fontId="51" fillId="0" borderId="45"/>
    <xf numFmtId="0" fontId="52" fillId="0" borderId="45"/>
    <xf numFmtId="0" fontId="52" fillId="0" borderId="45"/>
    <xf numFmtId="0" fontId="51" fillId="0" borderId="45"/>
    <xf numFmtId="0" fontId="52" fillId="0" borderId="45"/>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3" fontId="33" fillId="0" borderId="0">
      <alignment horizontal="left" wrapText="1"/>
    </xf>
    <xf numFmtId="0" fontId="27" fillId="0" borderId="0" applyNumberFormat="0" applyFill="0" applyBorder="0" applyAlignment="0" applyProtection="0"/>
    <xf numFmtId="0" fontId="82" fillId="0" borderId="0" applyNumberFormat="0" applyFill="0" applyBorder="0" applyAlignment="0" applyProtection="0"/>
    <xf numFmtId="0" fontId="14" fillId="67" borderId="38" applyNumberFormat="0">
      <alignment horizontal="center" vertical="center" wrapText="1"/>
    </xf>
    <xf numFmtId="0" fontId="9" fillId="0" borderId="0">
      <alignment readingOrder="1"/>
    </xf>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alignment readingOrder="1"/>
    </xf>
    <xf numFmtId="0" fontId="9" fillId="0" borderId="0">
      <alignment readingOrder="1"/>
    </xf>
    <xf numFmtId="43" fontId="9" fillId="0" borderId="0" applyFont="0" applyFill="0" applyBorder="0" applyAlignment="0" applyProtection="0"/>
    <xf numFmtId="3" fontId="31" fillId="0" borderId="0"/>
    <xf numFmtId="9" fontId="9" fillId="0" borderId="0" applyFont="0" applyFill="0" applyBorder="0" applyAlignment="0" applyProtection="0"/>
    <xf numFmtId="0" fontId="9" fillId="89" borderId="0" applyNumberFormat="0" applyFont="0" applyFill="0" applyBorder="0" applyAlignment="0" applyProtection="0"/>
    <xf numFmtId="165" fontId="48" fillId="76" borderId="0" applyFont="0" applyFill="0" applyBorder="0" applyAlignment="0" applyProtection="0">
      <alignment wrapText="1"/>
    </xf>
    <xf numFmtId="3" fontId="31" fillId="0" borderId="0"/>
    <xf numFmtId="0" fontId="9" fillId="0" borderId="0">
      <alignment readingOrder="1"/>
    </xf>
    <xf numFmtId="38" fontId="118" fillId="0" borderId="0" applyNumberFormat="0" applyFont="0" applyFill="0" applyBorder="0">
      <alignment horizontal="left" indent="4"/>
      <protection locked="0"/>
    </xf>
    <xf numFmtId="9" fontId="48"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17" fillId="0" borderId="0"/>
    <xf numFmtId="0" fontId="48" fillId="0" borderId="0"/>
    <xf numFmtId="0" fontId="6" fillId="0" borderId="0"/>
    <xf numFmtId="0" fontId="6" fillId="0" borderId="0"/>
    <xf numFmtId="44"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1" fontId="9" fillId="0" borderId="0" applyFont="0" applyFill="0" applyBorder="0" applyAlignment="0" applyProtection="0"/>
    <xf numFmtId="0" fontId="116"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32" fillId="0" borderId="0"/>
    <xf numFmtId="0" fontId="120" fillId="77" borderId="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alignment readingOrder="1"/>
    </xf>
    <xf numFmtId="0" fontId="9" fillId="0" borderId="0">
      <alignment readingOrder="1"/>
    </xf>
    <xf numFmtId="0" fontId="9" fillId="0" borderId="0">
      <alignment readingOrder="1"/>
    </xf>
    <xf numFmtId="0" fontId="9" fillId="0" borderId="0">
      <alignment readingOrder="1"/>
    </xf>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3" fontId="31" fillId="0" borderId="0"/>
    <xf numFmtId="0" fontId="121" fillId="0" borderId="8" applyNumberFormat="0" applyFill="0" applyAlignment="0" applyProtection="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0" fontId="122" fillId="0" borderId="0" applyNumberFormat="0" applyFill="0" applyBorder="0" applyAlignment="0" applyProtection="0">
      <alignment vertical="top"/>
      <protection locked="0"/>
    </xf>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0" fontId="123" fillId="0" borderId="0" applyBorder="0">
      <alignment horizontal="centerContinuous"/>
    </xf>
    <xf numFmtId="0" fontId="124" fillId="0" borderId="0" applyBorder="0">
      <alignment horizontal="centerContinuous"/>
    </xf>
    <xf numFmtId="0" fontId="125" fillId="67" borderId="0">
      <alignment horizontal="right"/>
    </xf>
    <xf numFmtId="0" fontId="124" fillId="67" borderId="46"/>
    <xf numFmtId="42" fontId="9" fillId="0" borderId="0" applyFont="0" applyFill="0" applyBorder="0" applyAlignment="0" applyProtection="0"/>
    <xf numFmtId="0" fontId="12" fillId="69" borderId="0">
      <alignment horizontal="left"/>
    </xf>
    <xf numFmtId="0" fontId="126" fillId="69" borderId="0">
      <alignment horizontal="right"/>
    </xf>
    <xf numFmtId="0" fontId="126" fillId="69" borderId="0">
      <alignment horizontal="center"/>
    </xf>
    <xf numFmtId="0" fontId="126" fillId="69" borderId="0">
      <alignment horizontal="right"/>
    </xf>
    <xf numFmtId="0" fontId="127" fillId="69" borderId="0">
      <alignment horizontal="left"/>
    </xf>
    <xf numFmtId="41"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69" borderId="0">
      <alignment horizontal="left"/>
    </xf>
    <xf numFmtId="0" fontId="12" fillId="69"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28" fillId="6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12" fillId="69" borderId="0">
      <alignment horizontal="center"/>
    </xf>
    <xf numFmtId="49" fontId="100" fillId="69" borderId="0">
      <alignment horizontal="center"/>
    </xf>
    <xf numFmtId="0" fontId="126" fillId="69" borderId="0">
      <alignment horizontal="center"/>
    </xf>
    <xf numFmtId="0" fontId="126" fillId="69" borderId="0">
      <alignment horizontal="centerContinuous"/>
    </xf>
    <xf numFmtId="0" fontId="59" fillId="69" borderId="0">
      <alignment horizontal="left"/>
    </xf>
    <xf numFmtId="49" fontId="59" fillId="69" borderId="0">
      <alignment horizontal="center"/>
    </xf>
    <xf numFmtId="0" fontId="12" fillId="69" borderId="0">
      <alignment horizontal="left"/>
    </xf>
    <xf numFmtId="49" fontId="59" fillId="69" borderId="0">
      <alignment horizontal="left"/>
    </xf>
    <xf numFmtId="0" fontId="12" fillId="69" borderId="0">
      <alignment horizontal="centerContinuous"/>
    </xf>
    <xf numFmtId="0" fontId="12" fillId="69" borderId="0">
      <alignment horizontal="right"/>
    </xf>
    <xf numFmtId="49" fontId="12" fillId="69" borderId="0">
      <alignment horizontal="left"/>
    </xf>
    <xf numFmtId="0" fontId="126" fillId="69" borderId="0">
      <alignment horizontal="right"/>
    </xf>
    <xf numFmtId="0" fontId="59" fillId="102" borderId="0">
      <alignment horizontal="center"/>
    </xf>
    <xf numFmtId="0" fontId="62" fillId="102" borderId="0">
      <alignment horizontal="center"/>
    </xf>
    <xf numFmtId="0" fontId="129" fillId="69" borderId="0">
      <alignment horizontal="center"/>
    </xf>
    <xf numFmtId="0" fontId="9" fillId="0" borderId="0"/>
    <xf numFmtId="43" fontId="1" fillId="0" borderId="0" applyFont="0" applyFill="0" applyBorder="0" applyAlignment="0" applyProtection="0"/>
    <xf numFmtId="9" fontId="1" fillId="0" borderId="0" applyFont="0" applyFill="0" applyBorder="0" applyAlignment="0" applyProtection="0"/>
    <xf numFmtId="0" fontId="18" fillId="0" borderId="8" applyNumberFormat="0" applyFill="0" applyAlignment="0" applyProtection="0"/>
    <xf numFmtId="43" fontId="1" fillId="0" borderId="0" applyFont="0" applyFill="0" applyBorder="0" applyAlignment="0" applyProtection="0"/>
    <xf numFmtId="164" fontId="6" fillId="103" borderId="0" applyFont="0" applyFill="0" applyBorder="0" applyAlignment="0" applyProtection="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1" fillId="0" borderId="0"/>
    <xf numFmtId="0" fontId="11"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8"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8"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8"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8"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8" fillId="4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6" borderId="0" applyNumberFormat="0" applyBorder="0" applyAlignment="0" applyProtection="0"/>
    <xf numFmtId="0" fontId="39" fillId="4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9" fillId="37" borderId="0" applyNumberFormat="0" applyBorder="0" applyAlignment="0" applyProtection="0"/>
    <xf numFmtId="0" fontId="30" fillId="21" borderId="0" applyNumberFormat="0" applyBorder="0" applyAlignment="0" applyProtection="0"/>
    <xf numFmtId="0" fontId="42" fillId="68" borderId="16" applyNumberFormat="0" applyAlignment="0" applyProtection="0"/>
    <xf numFmtId="0" fontId="30" fillId="21" borderId="0" applyNumberFormat="0" applyBorder="0" applyAlignment="0" applyProtection="0"/>
    <xf numFmtId="0" fontId="30" fillId="43" borderId="0" applyNumberFormat="0" applyBorder="0" applyAlignment="0" applyProtection="0"/>
    <xf numFmtId="0" fontId="39" fillId="4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48" borderId="0" applyNumberFormat="0" applyBorder="0" applyAlignment="0" applyProtection="0"/>
    <xf numFmtId="0" fontId="39" fillId="4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9" fillId="4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50" borderId="0" applyNumberFormat="0" applyBorder="0" applyAlignment="0" applyProtection="0"/>
    <xf numFmtId="0" fontId="39" fillId="50" borderId="0" applyNumberFormat="0" applyBorder="0" applyAlignment="0" applyProtection="0"/>
    <xf numFmtId="0" fontId="30" fillId="10" borderId="0" applyNumberFormat="0" applyBorder="0" applyAlignment="0" applyProtection="0"/>
    <xf numFmtId="0" fontId="30" fillId="54"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18"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48"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0" fillId="30" borderId="0" applyNumberFormat="0" applyBorder="0" applyAlignment="0" applyProtection="0"/>
    <xf numFmtId="206" fontId="130" fillId="85" borderId="0" applyNumberFormat="0" applyBorder="0" applyAlignment="0" applyProtection="0"/>
    <xf numFmtId="206" fontId="79" fillId="104" borderId="0" applyNumberFormat="0" applyBorder="0" applyAlignment="0" applyProtection="0"/>
    <xf numFmtId="206" fontId="79" fillId="10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31" fillId="4" borderId="0" applyNumberFormat="0" applyBorder="0" applyAlignment="0" applyProtection="0"/>
    <xf numFmtId="0" fontId="40" fillId="36" borderId="0" applyNumberFormat="0" applyBorder="0" applyAlignment="0" applyProtection="0"/>
    <xf numFmtId="0" fontId="6" fillId="0" borderId="0" applyFill="0" applyBorder="0" applyAlignment="0" applyProtection="0"/>
    <xf numFmtId="0" fontId="24" fillId="7" borderId="9" applyNumberFormat="0" applyAlignment="0" applyProtection="0"/>
    <xf numFmtId="0" fontId="24" fillId="68" borderId="9" applyNumberFormat="0" applyAlignment="0" applyProtection="0"/>
    <xf numFmtId="0" fontId="42" fillId="68" borderId="16" applyNumberFormat="0" applyAlignment="0" applyProtection="0"/>
    <xf numFmtId="0" fontId="76" fillId="0" borderId="0" applyFill="0" applyBorder="0" applyProtection="0">
      <alignment horizontal="center" vertical="center"/>
    </xf>
    <xf numFmtId="0" fontId="132" fillId="0" borderId="0" applyFill="0" applyBorder="0" applyProtection="0">
      <alignment horizontal="center"/>
      <protection locked="0"/>
    </xf>
    <xf numFmtId="0" fontId="76" fillId="0" borderId="0" applyFill="0" applyBorder="0" applyProtection="0">
      <alignment horizontal="center" vertical="center"/>
    </xf>
    <xf numFmtId="0" fontId="26" fillId="8" borderId="12" applyNumberFormat="0" applyAlignment="0" applyProtection="0"/>
    <xf numFmtId="0" fontId="26" fillId="8" borderId="12" applyNumberFormat="0" applyAlignment="0" applyProtection="0"/>
    <xf numFmtId="0" fontId="44" fillId="70" borderId="17" applyNumberFormat="0" applyAlignment="0" applyProtection="0"/>
    <xf numFmtId="0" fontId="133" fillId="0" borderId="47">
      <alignment horizontal="center"/>
    </xf>
    <xf numFmtId="207" fontId="134" fillId="0" borderId="0" applyFont="0" applyFill="0" applyBorder="0" applyAlignment="0" applyProtection="0">
      <alignment horizontal="right"/>
    </xf>
    <xf numFmtId="208" fontId="135" fillId="0" borderId="0" applyFont="0" applyFill="0" applyBorder="0" applyAlignment="0" applyProtection="0"/>
    <xf numFmtId="209" fontId="136" fillId="0" borderId="0" applyFont="0" applyFill="0" applyBorder="0" applyAlignment="0" applyProtection="0"/>
    <xf numFmtId="210"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38"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9"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2" fontId="135" fillId="0" borderId="0">
      <protection locked="0"/>
    </xf>
    <xf numFmtId="0" fontId="141" fillId="0" borderId="0" applyFill="0" applyBorder="0" applyAlignment="0" applyProtection="0"/>
    <xf numFmtId="0" fontId="142" fillId="0" borderId="0" applyFill="0" applyBorder="0" applyAlignment="0" applyProtection="0">
      <protection locked="0"/>
    </xf>
    <xf numFmtId="0" fontId="141" fillId="0" borderId="0" applyFill="0" applyBorder="0" applyAlignment="0" applyProtection="0"/>
    <xf numFmtId="213" fontId="136" fillId="0" borderId="0" applyFont="0" applyFill="0" applyBorder="0" applyAlignment="0" applyProtection="0"/>
    <xf numFmtId="214" fontId="136" fillId="0" borderId="0" applyFont="0" applyFill="0" applyBorder="0" applyAlignment="0" applyProtection="0"/>
    <xf numFmtId="215" fontId="13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8"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6" fontId="135" fillId="0" borderId="0">
      <protection locked="0"/>
    </xf>
    <xf numFmtId="185" fontId="143" fillId="0" borderId="0" applyFont="0" applyFill="0" applyBorder="0" applyAlignment="0" applyProtection="0"/>
    <xf numFmtId="206" fontId="144" fillId="0"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3" fillId="0" borderId="0" applyNumberFormat="0" applyFill="0" applyBorder="0" applyAlignment="0" applyProtection="0"/>
    <xf numFmtId="217" fontId="145" fillId="0" borderId="0"/>
    <xf numFmtId="218" fontId="145" fillId="0" borderId="0"/>
    <xf numFmtId="165" fontId="145" fillId="0" borderId="0"/>
    <xf numFmtId="218" fontId="145" fillId="0" borderId="0"/>
    <xf numFmtId="219" fontId="145" fillId="0" borderId="0"/>
    <xf numFmtId="219" fontId="145" fillId="0" borderId="0"/>
    <xf numFmtId="217" fontId="145" fillId="0" borderId="0"/>
    <xf numFmtId="188" fontId="145" fillId="0" borderId="0"/>
    <xf numFmtId="220" fontId="145" fillId="0" borderId="0"/>
    <xf numFmtId="221" fontId="145" fillId="0" borderId="0"/>
    <xf numFmtId="222" fontId="145" fillId="0" borderId="0"/>
    <xf numFmtId="0" fontId="19" fillId="3" borderId="0" applyNumberFormat="0" applyBorder="0" applyAlignment="0" applyProtection="0"/>
    <xf numFmtId="0" fontId="19" fillId="3" borderId="0" applyNumberFormat="0" applyBorder="0" applyAlignment="0" applyProtection="0"/>
    <xf numFmtId="0" fontId="64" fillId="38" borderId="0" applyNumberFormat="0" applyBorder="0" applyAlignment="0" applyProtection="0"/>
    <xf numFmtId="0" fontId="16" fillId="0" borderId="6" applyNumberFormat="0" applyFill="0" applyAlignment="0" applyProtection="0"/>
    <xf numFmtId="0" fontId="146" fillId="0" borderId="21" applyNumberFormat="0" applyFill="0" applyAlignment="0" applyProtection="0"/>
    <xf numFmtId="0" fontId="69" fillId="0" borderId="21" applyNumberFormat="0" applyFill="0" applyAlignment="0" applyProtection="0"/>
    <xf numFmtId="0" fontId="17" fillId="0" borderId="7" applyNumberFormat="0" applyFill="0" applyAlignment="0" applyProtection="0"/>
    <xf numFmtId="0" fontId="147" fillId="0" borderId="7" applyNumberFormat="0" applyFill="0" applyAlignment="0" applyProtection="0"/>
    <xf numFmtId="0" fontId="72" fillId="0" borderId="23"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48" fillId="0" borderId="25" applyNumberFormat="0" applyFill="0" applyAlignment="0" applyProtection="0"/>
    <xf numFmtId="0" fontId="74" fillId="0" borderId="2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8" fillId="0" borderId="0" applyNumberFormat="0" applyFill="0" applyBorder="0" applyAlignment="0" applyProtection="0"/>
    <xf numFmtId="0" fontId="74" fillId="0" borderId="0" applyNumberFormat="0" applyFill="0" applyBorder="0" applyAlignment="0" applyProtection="0"/>
    <xf numFmtId="0" fontId="14" fillId="0" borderId="0" applyFill="0" applyAlignment="0" applyProtection="0"/>
    <xf numFmtId="0" fontId="132" fillId="0" borderId="0" applyFill="0" applyAlignment="0" applyProtection="0">
      <protection locked="0"/>
    </xf>
    <xf numFmtId="0" fontId="14" fillId="0" borderId="0" applyFill="0" applyAlignment="0" applyProtection="0"/>
    <xf numFmtId="0" fontId="14" fillId="0" borderId="38" applyFill="0" applyAlignment="0" applyProtection="0"/>
    <xf numFmtId="0" fontId="132" fillId="0" borderId="38" applyFill="0" applyAlignment="0" applyProtection="0">
      <protection locked="0"/>
    </xf>
    <xf numFmtId="0" fontId="14" fillId="0" borderId="38" applyFill="0" applyAlignment="0" applyProtection="0"/>
    <xf numFmtId="0" fontId="132" fillId="0" borderId="0" applyFill="0" applyAlignment="0" applyProtection="0"/>
    <xf numFmtId="206" fontId="149" fillId="67" borderId="0" applyNumberFormat="0" applyBorder="0" applyAlignment="0" applyProtection="0"/>
    <xf numFmtId="0" fontId="22" fillId="6" borderId="9" applyNumberFormat="0" applyAlignment="0" applyProtection="0"/>
    <xf numFmtId="206" fontId="79" fillId="76" borderId="0" applyNumberFormat="0" applyBorder="0" applyAlignment="0" applyProtection="0"/>
    <xf numFmtId="206" fontId="79" fillId="76" borderId="0" applyNumberFormat="0" applyBorder="0" applyAlignment="0" applyProtection="0"/>
    <xf numFmtId="0" fontId="25" fillId="0" borderId="11" applyNumberFormat="0" applyFill="0" applyAlignment="0" applyProtection="0"/>
    <xf numFmtId="0" fontId="25" fillId="0" borderId="11" applyNumberFormat="0" applyFill="0" applyAlignment="0" applyProtection="0"/>
    <xf numFmtId="0" fontId="81" fillId="0" borderId="30"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83" fillId="44" borderId="0" applyNumberFormat="0" applyBorder="0" applyAlignment="0" applyProtection="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37" fillId="0" borderId="0"/>
    <xf numFmtId="206" fontId="9" fillId="0" borderId="0"/>
    <xf numFmtId="0" fontId="137"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0" fontId="9"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9" fillId="0" borderId="0"/>
    <xf numFmtId="0" fontId="9" fillId="0" borderId="0"/>
    <xf numFmtId="0" fontId="6" fillId="0" borderId="0"/>
    <xf numFmtId="0" fontId="9"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9" fillId="0" borderId="0"/>
    <xf numFmtId="0" fontId="11" fillId="0" borderId="0">
      <alignment vertical="top"/>
    </xf>
    <xf numFmtId="0" fontId="9" fillId="0" borderId="0"/>
    <xf numFmtId="0" fontId="9" fillId="0" borderId="0"/>
    <xf numFmtId="206" fontId="9" fillId="0" borderId="0"/>
    <xf numFmtId="0" fontId="1"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6"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205" fontId="9" fillId="0" borderId="0"/>
    <xf numFmtId="0" fontId="11" fillId="0" borderId="0">
      <alignment vertical="top"/>
    </xf>
    <xf numFmtId="0" fontId="11" fillId="0" borderId="0">
      <alignment vertical="top"/>
    </xf>
    <xf numFmtId="0" fontId="31" fillId="0" borderId="0"/>
    <xf numFmtId="0" fontId="1" fillId="0" borderId="0"/>
    <xf numFmtId="0" fontId="31" fillId="0" borderId="0"/>
    <xf numFmtId="0" fontId="31" fillId="0" borderId="0"/>
    <xf numFmtId="0" fontId="31" fillId="0" borderId="0"/>
    <xf numFmtId="206" fontId="31" fillId="0" borderId="0"/>
    <xf numFmtId="206" fontId="31" fillId="0" borderId="0"/>
    <xf numFmtId="0" fontId="11" fillId="0" borderId="0">
      <alignment vertical="top"/>
    </xf>
    <xf numFmtId="206" fontId="31" fillId="0" borderId="0"/>
    <xf numFmtId="206" fontId="31" fillId="0" borderId="0"/>
    <xf numFmtId="0" fontId="31" fillId="0" borderId="0"/>
    <xf numFmtId="0" fontId="1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9" fillId="39" borderId="34" applyNumberFormat="0" applyFont="0" applyAlignment="0" applyProtection="0"/>
    <xf numFmtId="0" fontId="1" fillId="9" borderId="13" applyNumberFormat="0" applyFont="0" applyAlignment="0" applyProtection="0"/>
    <xf numFmtId="0" fontId="23" fillId="7" borderId="10" applyNumberFormat="0" applyAlignment="0" applyProtection="0"/>
    <xf numFmtId="0" fontId="23" fillId="7" borderId="10" applyNumberFormat="0" applyAlignment="0" applyProtection="0"/>
    <xf numFmtId="0" fontId="23" fillId="68" borderId="10" applyNumberFormat="0" applyAlignment="0" applyProtection="0"/>
    <xf numFmtId="0" fontId="90" fillId="68" borderId="35" applyNumberFormat="0" applyAlignment="0" applyProtection="0"/>
    <xf numFmtId="206" fontId="9" fillId="103" borderId="0" applyNumberFormat="0" applyBorder="0" applyAlignment="0" applyProtection="0"/>
    <xf numFmtId="206" fontId="9" fillId="103" borderId="0" applyNumberFormat="0" applyBorder="0" applyAlignment="0" applyProtection="0"/>
    <xf numFmtId="223" fontId="136" fillId="0" borderId="0" applyFont="0" applyFill="0" applyBorder="0" applyAlignment="0" applyProtection="0"/>
    <xf numFmtId="224" fontId="135" fillId="0" borderId="0" applyFont="0" applyFill="0" applyBorder="0" applyAlignment="0" applyProtection="0"/>
    <xf numFmtId="225" fontId="136" fillId="0" borderId="0" applyFont="0" applyFill="0" applyBorder="0" applyAlignment="0" applyProtection="0"/>
    <xf numFmtId="226" fontId="135" fillId="0" borderId="0" applyFont="0" applyFill="0" applyBorder="0" applyAlignment="0" applyProtection="0"/>
    <xf numFmtId="227" fontId="136" fillId="0" borderId="0" applyFont="0" applyFill="0" applyBorder="0" applyAlignment="0" applyProtection="0"/>
    <xf numFmtId="228" fontId="135" fillId="0" borderId="0" applyFont="0" applyFill="0" applyBorder="0" applyAlignment="0" applyProtection="0"/>
    <xf numFmtId="229" fontId="136" fillId="0" borderId="0" applyFont="0" applyFill="0" applyBorder="0" applyAlignment="0" applyProtection="0"/>
    <xf numFmtId="230" fontId="135" fillId="0" borderId="0" applyFont="0" applyFill="0" applyBorder="0" applyAlignment="0" applyProtection="0"/>
    <xf numFmtId="231" fontId="135" fillId="0" borderId="0" applyFont="0" applyFill="0" applyBorder="0" applyAlignment="0" applyProtection="0"/>
    <xf numFmtId="232" fontId="1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6" fontId="130" fillId="85" borderId="0" applyNumberFormat="0" applyBorder="0" applyAlignment="0" applyProtection="0"/>
    <xf numFmtId="0" fontId="150" fillId="0" borderId="0">
      <alignment horizontal="right"/>
    </xf>
    <xf numFmtId="0" fontId="151" fillId="0" borderId="0">
      <alignment horizontal="right"/>
    </xf>
    <xf numFmtId="0" fontId="145" fillId="0" borderId="0"/>
    <xf numFmtId="0" fontId="152" fillId="0" borderId="0" applyNumberFormat="0" applyBorder="0" applyAlignment="0"/>
    <xf numFmtId="0" fontId="152" fillId="0" borderId="0" applyNumberFormat="0" applyBorder="0" applyAlignment="0"/>
    <xf numFmtId="0" fontId="11" fillId="0" borderId="0" applyNumberFormat="0" applyBorder="0" applyAlignment="0"/>
    <xf numFmtId="206" fontId="11" fillId="0" borderId="0" applyNumberFormat="0" applyBorder="0" applyAlignment="0"/>
    <xf numFmtId="0" fontId="145" fillId="0" borderId="0"/>
    <xf numFmtId="206" fontId="11" fillId="0" borderId="0" applyNumberFormat="0" applyBorder="0" applyAlignment="0"/>
    <xf numFmtId="0" fontId="153" fillId="0" borderId="0"/>
    <xf numFmtId="0" fontId="154" fillId="0" borderId="0" applyNumberFormat="0" applyBorder="0" applyAlignment="0"/>
    <xf numFmtId="0" fontId="154" fillId="0" borderId="0" applyNumberFormat="0" applyBorder="0" applyAlignment="0"/>
    <xf numFmtId="0" fontId="153" fillId="0" borderId="0"/>
    <xf numFmtId="0" fontId="155" fillId="0" borderId="0"/>
    <xf numFmtId="206" fontId="156" fillId="0" borderId="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applyNumberFormat="0" applyBorder="0" applyAlignment="0"/>
    <xf numFmtId="0" fontId="160" fillId="0" borderId="0"/>
    <xf numFmtId="206" fontId="161" fillId="0" borderId="0"/>
    <xf numFmtId="0" fontId="162" fillId="0" borderId="0"/>
    <xf numFmtId="0" fontId="158" fillId="105" borderId="0" applyNumberFormat="0" applyBorder="0" applyAlignment="0"/>
    <xf numFmtId="0" fontId="163" fillId="0" borderId="0"/>
    <xf numFmtId="0" fontId="164" fillId="0" borderId="0"/>
    <xf numFmtId="0" fontId="165" fillId="0" borderId="0"/>
    <xf numFmtId="0" fontId="164" fillId="79" borderId="0"/>
    <xf numFmtId="0" fontId="15" fillId="0" borderId="0" applyNumberFormat="0" applyFill="0" applyBorder="0" applyAlignment="0" applyProtection="0"/>
    <xf numFmtId="0" fontId="166" fillId="71" borderId="48" applyNumberFormat="0">
      <alignment horizontal="left"/>
    </xf>
    <xf numFmtId="0" fontId="15" fillId="0" borderId="0" applyNumberFormat="0" applyFill="0" applyBorder="0" applyAlignment="0" applyProtection="0"/>
    <xf numFmtId="0" fontId="167" fillId="0" borderId="0" applyNumberFormat="0" applyFill="0" applyBorder="0" applyAlignment="0" applyProtection="0"/>
    <xf numFmtId="0" fontId="112" fillId="0" borderId="0" applyNumberFormat="0" applyFill="0" applyBorder="0" applyAlignment="0" applyProtection="0"/>
    <xf numFmtId="0" fontId="166" fillId="71" borderId="49">
      <alignment horizontal="left"/>
    </xf>
    <xf numFmtId="3" fontId="31" fillId="0" borderId="0"/>
    <xf numFmtId="0" fontId="29" fillId="0" borderId="14"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27" fillId="0" borderId="0" applyNumberFormat="0" applyFill="0" applyBorder="0" applyAlignment="0" applyProtection="0"/>
    <xf numFmtId="0" fontId="31" fillId="0" borderId="0"/>
    <xf numFmtId="0" fontId="27" fillId="0" borderId="0" applyNumberFormat="0" applyFill="0" applyBorder="0" applyAlignment="0" applyProtection="0"/>
    <xf numFmtId="0" fontId="82" fillId="0" borderId="0" applyNumberFormat="0" applyFill="0" applyBorder="0" applyAlignment="0" applyProtection="0"/>
    <xf numFmtId="206" fontId="14" fillId="86" borderId="0" applyNumberFormat="0" applyBorder="0" applyAlignment="0" applyProtection="0"/>
    <xf numFmtId="233" fontId="135" fillId="0" borderId="0" applyFont="0" applyFill="0" applyBorder="0" applyAlignment="0" applyProtection="0"/>
    <xf numFmtId="234" fontId="135" fillId="0" borderId="0" applyFont="0" applyFill="0" applyBorder="0" applyAlignment="0" applyProtection="0"/>
    <xf numFmtId="235" fontId="135" fillId="0" borderId="0" applyFont="0" applyFill="0" applyBorder="0" applyAlignment="0" applyProtection="0"/>
    <xf numFmtId="236" fontId="135" fillId="0" borderId="0" applyFont="0" applyFill="0" applyBorder="0" applyAlignment="0" applyProtection="0"/>
    <xf numFmtId="237" fontId="135" fillId="0" borderId="0" applyFont="0" applyFill="0" applyBorder="0" applyAlignment="0" applyProtection="0"/>
    <xf numFmtId="238" fontId="135" fillId="0" borderId="0" applyFont="0" applyFill="0" applyBorder="0" applyAlignment="0" applyProtection="0"/>
    <xf numFmtId="239" fontId="135" fillId="0" borderId="0" applyFont="0" applyFill="0" applyBorder="0" applyAlignment="0" applyProtection="0"/>
    <xf numFmtId="240" fontId="135" fillId="0" borderId="0" applyFont="0" applyFill="0" applyBorder="0" applyAlignment="0" applyProtection="0"/>
    <xf numFmtId="241" fontId="6" fillId="0" borderId="0" applyFont="0" applyFill="0" applyBorder="0" applyAlignment="0" applyProtection="0">
      <alignment horizontal="right"/>
    </xf>
    <xf numFmtId="3" fontId="31" fillId="0" borderId="0"/>
    <xf numFmtId="0" fontId="121" fillId="0" borderId="8" applyNumberFormat="0" applyFill="0" applyAlignment="0" applyProtection="0"/>
    <xf numFmtId="3" fontId="31" fillId="0" borderId="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121" fillId="0" borderId="8" applyNumberFormat="0" applyFill="0" applyAlignment="0" applyProtection="0"/>
    <xf numFmtId="0" fontId="3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90" fillId="68" borderId="35" applyNumberFormat="0" applyAlignment="0" applyProtection="0"/>
    <xf numFmtId="0" fontId="42" fillId="68" borderId="16" applyNumberFormat="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0" fontId="9" fillId="39" borderId="34" applyNumberFormat="0" applyFont="0" applyAlignment="0" applyProtection="0"/>
    <xf numFmtId="9" fontId="31" fillId="0" borderId="0" applyFont="0" applyFill="0" applyBorder="0" applyAlignment="0" applyProtection="0"/>
    <xf numFmtId="0" fontId="61" fillId="0" borderId="43" applyNumberFormat="0" applyFill="0" applyAlignment="0" applyProtection="0"/>
    <xf numFmtId="43"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31" fillId="0" borderId="0" applyFont="0" applyFill="0" applyBorder="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9" fontId="31" fillId="0" borderId="0" applyFont="0" applyFill="0" applyBorder="0" applyAlignment="0" applyProtection="0"/>
    <xf numFmtId="0" fontId="90" fillId="68" borderId="35" applyNumberFormat="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29" fillId="0" borderId="43" applyNumberFormat="0" applyFill="0" applyAlignment="0" applyProtection="0"/>
    <xf numFmtId="0" fontId="61"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1"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9" fontId="49" fillId="0" borderId="0"/>
    <xf numFmtId="40" fontId="47" fillId="0" borderId="0" applyFont="0" applyFill="0" applyBorder="0" applyAlignment="0" applyProtection="0"/>
    <xf numFmtId="8" fontId="47" fillId="0" borderId="0" applyFont="0" applyFill="0" applyBorder="0" applyAlignment="0" applyProtection="0"/>
    <xf numFmtId="9" fontId="47" fillId="0" borderId="0" applyFont="0" applyFill="0" applyBorder="0" applyAlignment="0" applyProtection="0"/>
    <xf numFmtId="0" fontId="168" fillId="0" borderId="0"/>
    <xf numFmtId="44" fontId="168"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3" fontId="65"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4" fontId="65" fillId="0" borderId="0" applyFont="0" applyFill="0" applyBorder="0" applyAlignment="0" applyProtection="0"/>
    <xf numFmtId="0" fontId="65" fillId="0" borderId="0" applyFont="0" applyFill="0" applyBorder="0" applyAlignment="0" applyProtection="0"/>
    <xf numFmtId="2" fontId="65" fillId="0" borderId="0" applyFont="0" applyFill="0" applyBorder="0" applyAlignment="0" applyProtection="0"/>
    <xf numFmtId="0" fontId="65" fillId="0" borderId="0"/>
    <xf numFmtId="0" fontId="31" fillId="0" borderId="0"/>
    <xf numFmtId="0" fontId="1" fillId="0" borderId="0"/>
    <xf numFmtId="10" fontId="65"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43"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0" fontId="31" fillId="0" borderId="0"/>
    <xf numFmtId="9" fontId="31"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44" fontId="168" fillId="0" borderId="0" applyFont="0" applyFill="0" applyBorder="0" applyAlignment="0" applyProtection="0"/>
    <xf numFmtId="9" fontId="168"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8" fillId="41"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0" fillId="68" borderId="35" applyNumberFormat="0" applyAlignment="0" applyProtection="0"/>
    <xf numFmtId="0" fontId="42" fillId="68" borderId="16" applyNumberFormat="0" applyAlignment="0" applyProtection="0"/>
    <xf numFmtId="0" fontId="42" fillId="68" borderId="16" applyNumberFormat="0" applyAlignment="0" applyProtection="0"/>
    <xf numFmtId="0" fontId="9" fillId="39" borderId="34" applyNumberFormat="0" applyFon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0" fontId="90" fillId="68" borderId="35" applyNumberFormat="0" applyAlignment="0" applyProtection="0"/>
    <xf numFmtId="0" fontId="29" fillId="0" borderId="43"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61" fillId="0" borderId="43" applyNumberFormat="0" applyFill="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42" fillId="68" borderId="16"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3" fontId="65" fillId="0" borderId="0" applyFont="0" applyFill="0" applyBorder="0" applyAlignment="0" applyProtection="0"/>
    <xf numFmtId="0" fontId="42" fillId="68" borderId="16" applyNumberFormat="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38" fillId="39" borderId="34" applyNumberFormat="0" applyFont="0" applyAlignment="0" applyProtection="0"/>
    <xf numFmtId="0" fontId="38"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9" borderId="35" applyNumberFormat="0" applyAlignment="0" applyProtection="0"/>
    <xf numFmtId="42" fontId="9" fillId="67" borderId="2">
      <alignment horizontal="left"/>
    </xf>
    <xf numFmtId="42" fontId="9" fillId="67" borderId="2">
      <alignment horizontal="left"/>
    </xf>
    <xf numFmtId="42" fontId="9" fillId="67" borderId="2">
      <alignment horizontal="left"/>
    </xf>
    <xf numFmtId="42" fontId="9" fillId="67" borderId="2">
      <alignment horizontal="left"/>
    </xf>
    <xf numFmtId="201" fontId="98" fillId="67" borderId="2">
      <alignment horizontal="left"/>
    </xf>
    <xf numFmtId="201" fontId="98" fillId="67" borderId="2">
      <alignment horizontal="left"/>
    </xf>
    <xf numFmtId="4" fontId="11" fillId="76" borderId="35" applyNumberFormat="0" applyProtection="0">
      <alignment vertical="center"/>
    </xf>
    <xf numFmtId="4" fontId="11" fillId="76" borderId="35" applyNumberFormat="0" applyProtection="0">
      <alignment vertical="center"/>
    </xf>
    <xf numFmtId="4" fontId="99" fillId="76" borderId="35" applyNumberFormat="0" applyProtection="0">
      <alignment vertical="center"/>
    </xf>
    <xf numFmtId="4" fontId="99" fillId="76" borderId="35" applyNumberFormat="0" applyProtection="0">
      <alignment vertical="center"/>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4" fontId="11" fillId="83" borderId="35" applyNumberFormat="0" applyProtection="0">
      <alignment horizontal="right" vertical="center"/>
    </xf>
    <xf numFmtId="4" fontId="11" fillId="84" borderId="35" applyNumberFormat="0" applyProtection="0">
      <alignment horizontal="right" vertical="center"/>
    </xf>
    <xf numFmtId="4" fontId="11" fillId="84" borderId="35" applyNumberFormat="0" applyProtection="0">
      <alignment horizontal="right" vertical="center"/>
    </xf>
    <xf numFmtId="4" fontId="11" fillId="85" borderId="35" applyNumberFormat="0" applyProtection="0">
      <alignment horizontal="right" vertical="center"/>
    </xf>
    <xf numFmtId="4" fontId="11" fillId="85" borderId="35" applyNumberFormat="0" applyProtection="0">
      <alignment horizontal="right" vertical="center"/>
    </xf>
    <xf numFmtId="4" fontId="11" fillId="86" borderId="35" applyNumberFormat="0" applyProtection="0">
      <alignment horizontal="right" vertical="center"/>
    </xf>
    <xf numFmtId="4" fontId="11" fillId="86" borderId="35" applyNumberFormat="0" applyProtection="0">
      <alignment horizontal="right" vertical="center"/>
    </xf>
    <xf numFmtId="4" fontId="11" fillId="87" borderId="35" applyNumberFormat="0" applyProtection="0">
      <alignment horizontal="right" vertical="center"/>
    </xf>
    <xf numFmtId="4" fontId="11" fillId="87" borderId="35" applyNumberFormat="0" applyProtection="0">
      <alignment horizontal="right" vertical="center"/>
    </xf>
    <xf numFmtId="4" fontId="11" fillId="88" borderId="35" applyNumberFormat="0" applyProtection="0">
      <alignment horizontal="right" vertical="center"/>
    </xf>
    <xf numFmtId="4" fontId="11" fillId="88" borderId="35" applyNumberFormat="0" applyProtection="0">
      <alignment horizontal="right" vertical="center"/>
    </xf>
    <xf numFmtId="4" fontId="11" fillId="89" borderId="35" applyNumberFormat="0" applyProtection="0">
      <alignment horizontal="right" vertical="center"/>
    </xf>
    <xf numFmtId="4" fontId="11" fillId="89" borderId="35" applyNumberFormat="0" applyProtection="0">
      <alignment horizontal="right" vertical="center"/>
    </xf>
    <xf numFmtId="4" fontId="11" fillId="90" borderId="35" applyNumberFormat="0" applyProtection="0">
      <alignment horizontal="right" vertical="center"/>
    </xf>
    <xf numFmtId="4" fontId="11" fillId="90" borderId="35" applyNumberFormat="0" applyProtection="0">
      <alignment horizontal="right" vertical="center"/>
    </xf>
    <xf numFmtId="4" fontId="11" fillId="91" borderId="35" applyNumberFormat="0" applyProtection="0">
      <alignment horizontal="right" vertical="center"/>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2"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8" borderId="35" applyNumberFormat="0" applyProtection="0">
      <alignment vertical="center"/>
    </xf>
    <xf numFmtId="4" fontId="11" fillId="98" borderId="35" applyNumberFormat="0" applyProtection="0">
      <alignment vertical="center"/>
    </xf>
    <xf numFmtId="4" fontId="99" fillId="98" borderId="35" applyNumberFormat="0" applyProtection="0">
      <alignment vertical="center"/>
    </xf>
    <xf numFmtId="4" fontId="99" fillId="98" borderId="35" applyNumberFormat="0" applyProtection="0">
      <alignment vertical="center"/>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4" fontId="11" fillId="94" borderId="35" applyNumberFormat="0" applyProtection="0">
      <alignment horizontal="right" vertical="center"/>
    </xf>
    <xf numFmtId="4" fontId="99" fillId="94" borderId="35" applyNumberFormat="0" applyProtection="0">
      <alignment horizontal="right" vertical="center"/>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04" fillId="94" borderId="35" applyNumberFormat="0" applyProtection="0">
      <alignment horizontal="right" vertical="center"/>
    </xf>
    <xf numFmtId="4" fontId="104" fillId="94" borderId="35" applyNumberFormat="0" applyProtection="0">
      <alignment horizontal="right" vertical="center"/>
    </xf>
    <xf numFmtId="38" fontId="76" fillId="0" borderId="2"/>
    <xf numFmtId="38" fontId="76" fillId="0" borderId="2"/>
    <xf numFmtId="38" fontId="76" fillId="0" borderId="2"/>
    <xf numFmtId="38" fontId="76" fillId="0" borderId="2"/>
    <xf numFmtId="0" fontId="76" fillId="0" borderId="2"/>
    <xf numFmtId="0" fontId="76" fillId="0" borderId="2"/>
    <xf numFmtId="0" fontId="76" fillId="0" borderId="2"/>
    <xf numFmtId="38" fontId="76" fillId="0" borderId="2"/>
    <xf numFmtId="38" fontId="76" fillId="0" borderId="2"/>
    <xf numFmtId="38" fontId="76" fillId="0" borderId="2"/>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67" borderId="51" applyNumberFormat="0">
      <alignment horizontal="center" vertical="center" wrapText="1"/>
    </xf>
    <xf numFmtId="0" fontId="14" fillId="67" borderId="51" applyNumberFormat="0">
      <alignment horizontal="center" vertical="center" wrapText="1"/>
    </xf>
    <xf numFmtId="0" fontId="66" fillId="0" borderId="52"/>
    <xf numFmtId="0" fontId="95" fillId="79" borderId="52"/>
    <xf numFmtId="0" fontId="14" fillId="67" borderId="51" applyNumberFormat="0">
      <alignment horizontal="center" vertical="center" wrapText="1"/>
    </xf>
    <xf numFmtId="0" fontId="14" fillId="67" borderId="51" applyNumberFormat="0">
      <alignment horizontal="center" vertical="center" wrapText="1"/>
    </xf>
  </cellStyleXfs>
  <cellXfs count="226">
    <xf numFmtId="0" fontId="0" fillId="0" borderId="0" xfId="0"/>
    <xf numFmtId="0" fontId="5" fillId="2" borderId="0" xfId="3" applyFont="1" applyFill="1" applyAlignment="1">
      <alignment horizontal="center"/>
    </xf>
    <xf numFmtId="0" fontId="4" fillId="2" borderId="0" xfId="3" applyFont="1" applyFill="1" applyAlignment="1">
      <alignment horizontal="left"/>
    </xf>
    <xf numFmtId="0" fontId="4" fillId="2" borderId="0" xfId="3" applyFont="1" applyFill="1" applyAlignment="1">
      <alignment horizontal="right"/>
    </xf>
    <xf numFmtId="0" fontId="4" fillId="0" borderId="0" xfId="3" applyFont="1" applyFill="1" applyAlignment="1">
      <alignment horizontal="center"/>
    </xf>
    <xf numFmtId="0" fontId="4" fillId="0" borderId="0" xfId="3" applyFont="1" applyFill="1"/>
    <xf numFmtId="43" fontId="0" fillId="0" borderId="0" xfId="6" applyFont="1"/>
    <xf numFmtId="0" fontId="10"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5" fillId="2" borderId="1" xfId="3" applyNumberFormat="1" applyFont="1" applyFill="1" applyBorder="1" applyAlignment="1">
      <alignment horizontal="center" vertical="center"/>
    </xf>
    <xf numFmtId="43" fontId="0" fillId="0" borderId="0" xfId="6" applyFont="1"/>
    <xf numFmtId="0" fontId="0" fillId="0" borderId="0" xfId="0"/>
    <xf numFmtId="0" fontId="4" fillId="2" borderId="0" xfId="3" applyFont="1" applyFill="1"/>
    <xf numFmtId="0" fontId="0" fillId="0" borderId="0" xfId="0" applyFill="1"/>
    <xf numFmtId="0" fontId="10" fillId="0" borderId="3" xfId="0" applyFont="1" applyFill="1" applyBorder="1" applyAlignment="1">
      <alignment horizontal="left" vertical="top"/>
    </xf>
    <xf numFmtId="0" fontId="29"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5" fillId="2" borderId="0" xfId="3" applyFont="1" applyFill="1" applyAlignment="1">
      <alignment horizontal="center" wrapText="1"/>
    </xf>
    <xf numFmtId="0" fontId="8" fillId="0" borderId="0" xfId="3" applyFont="1" applyAlignment="1">
      <alignment horizontal="center" wrapText="1"/>
    </xf>
    <xf numFmtId="0" fontId="4" fillId="2" borderId="0" xfId="3" applyFont="1" applyFill="1" applyAlignment="1">
      <alignment horizontal="center"/>
    </xf>
    <xf numFmtId="165" fontId="6" fillId="2" borderId="0" xfId="4" applyNumberFormat="1" applyFont="1" applyFill="1"/>
    <xf numFmtId="167" fontId="6" fillId="2" borderId="0" xfId="3" applyNumberFormat="1" applyFont="1" applyFill="1"/>
    <xf numFmtId="0" fontId="0" fillId="0" borderId="0" xfId="0"/>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172" fontId="12" fillId="106" borderId="3" xfId="0" applyNumberFormat="1" applyFont="1" applyFill="1" applyBorder="1" applyAlignment="1">
      <alignment horizontal="right" vertical="center"/>
    </xf>
    <xf numFmtId="172" fontId="12" fillId="106" borderId="3" xfId="7" applyNumberFormat="1" applyFont="1" applyFill="1" applyBorder="1" applyAlignment="1">
      <alignment horizontal="right" vertical="center"/>
    </xf>
    <xf numFmtId="171" fontId="12" fillId="106" borderId="3" xfId="0" applyNumberFormat="1" applyFont="1" applyFill="1" applyBorder="1" applyAlignment="1">
      <alignment horizontal="right" vertical="center"/>
    </xf>
    <xf numFmtId="170" fontId="12" fillId="106" borderId="3" xfId="0" applyNumberFormat="1" applyFont="1" applyFill="1" applyBorder="1" applyAlignment="1">
      <alignment horizontal="right" vertical="center"/>
    </xf>
    <xf numFmtId="172" fontId="12" fillId="107" borderId="3" xfId="0" applyNumberFormat="1" applyFont="1" applyFill="1" applyBorder="1" applyAlignment="1">
      <alignment horizontal="right" vertical="center"/>
    </xf>
    <xf numFmtId="171" fontId="12" fillId="107" borderId="3" xfId="0" applyNumberFormat="1" applyFont="1" applyFill="1" applyBorder="1" applyAlignment="1">
      <alignment horizontal="right" vertical="center"/>
    </xf>
    <xf numFmtId="170" fontId="12" fillId="107" borderId="3" xfId="0" applyNumberFormat="1" applyFont="1" applyFill="1" applyBorder="1" applyAlignment="1">
      <alignment horizontal="right" vertical="center"/>
    </xf>
    <xf numFmtId="0" fontId="10" fillId="108" borderId="3" xfId="0" applyFont="1" applyFill="1" applyBorder="1" applyAlignment="1">
      <alignment horizontal="center" wrapText="1"/>
    </xf>
    <xf numFmtId="0" fontId="11" fillId="108" borderId="3" xfId="0" applyFont="1" applyFill="1" applyBorder="1" applyAlignment="1">
      <alignment horizontal="center"/>
    </xf>
    <xf numFmtId="0" fontId="10" fillId="108" borderId="3" xfId="0" applyFont="1" applyFill="1" applyBorder="1" applyAlignment="1">
      <alignment horizontal="center"/>
    </xf>
    <xf numFmtId="172" fontId="12" fillId="107" borderId="3" xfId="7" applyNumberFormat="1" applyFont="1" applyFill="1" applyBorder="1" applyAlignment="1">
      <alignment horizontal="right" vertical="center"/>
    </xf>
    <xf numFmtId="0" fontId="0" fillId="0" borderId="0" xfId="0" applyAlignment="1">
      <alignment horizontal="center" wrapText="1"/>
    </xf>
    <xf numFmtId="0" fontId="4" fillId="2" borderId="0" xfId="3" applyFont="1" applyFill="1" applyAlignment="1">
      <alignment horizontal="center" vertical="center" wrapText="1"/>
    </xf>
    <xf numFmtId="0" fontId="5" fillId="2" borderId="51" xfId="3" applyFont="1" applyFill="1" applyBorder="1" applyAlignment="1">
      <alignment horizontal="center" vertical="center"/>
    </xf>
    <xf numFmtId="0" fontId="4" fillId="2" borderId="0" xfId="0" applyFont="1" applyFill="1" applyAlignment="1">
      <alignment horizontal="center"/>
    </xf>
    <xf numFmtId="0" fontId="5" fillId="2" borderId="51" xfId="3" applyFont="1" applyFill="1" applyBorder="1" applyAlignment="1">
      <alignment horizontal="center" vertical="center" wrapText="1"/>
    </xf>
    <xf numFmtId="0" fontId="5" fillId="2" borderId="51" xfId="3" applyFont="1" applyFill="1" applyBorder="1" applyAlignment="1">
      <alignment vertical="center"/>
    </xf>
    <xf numFmtId="164" fontId="5" fillId="2" borderId="51" xfId="3" applyNumberFormat="1" applyFont="1" applyFill="1" applyBorder="1" applyAlignment="1">
      <alignment horizontal="center" vertical="center"/>
    </xf>
    <xf numFmtId="166" fontId="6" fillId="0" borderId="0" xfId="3" applyNumberFormat="1" applyFont="1" applyFill="1" applyAlignment="1">
      <alignment vertical="center" wrapText="1"/>
    </xf>
    <xf numFmtId="167" fontId="6" fillId="0" borderId="0" xfId="3" applyNumberFormat="1" applyFont="1" applyFill="1"/>
    <xf numFmtId="0" fontId="5" fillId="0" borderId="0" xfId="3" applyFont="1" applyFill="1" applyAlignment="1">
      <alignment horizontal="center" wrapText="1"/>
    </xf>
    <xf numFmtId="164" fontId="5" fillId="0" borderId="1" xfId="3" applyNumberFormat="1" applyFont="1" applyFill="1" applyBorder="1" applyAlignment="1">
      <alignment horizontal="center" vertical="center"/>
    </xf>
    <xf numFmtId="165" fontId="6" fillId="0" borderId="0" xfId="4" applyNumberFormat="1" applyFont="1" applyFill="1"/>
    <xf numFmtId="165" fontId="4" fillId="0" borderId="0" xfId="4" applyNumberFormat="1" applyFont="1" applyFill="1"/>
    <xf numFmtId="167" fontId="4" fillId="0" borderId="0" xfId="3" applyNumberFormat="1" applyFont="1" applyFill="1"/>
    <xf numFmtId="0" fontId="6" fillId="0" borderId="0" xfId="3" applyFont="1" applyFill="1"/>
    <xf numFmtId="166" fontId="4" fillId="0" borderId="0" xfId="1" applyNumberFormat="1" applyFont="1" applyFill="1"/>
    <xf numFmtId="0" fontId="4"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166" fontId="4" fillId="2" borderId="0" xfId="3" applyNumberFormat="1" applyFont="1" applyFill="1" applyAlignment="1">
      <alignment vertical="center"/>
    </xf>
    <xf numFmtId="0" fontId="4" fillId="2" borderId="0" xfId="3" applyFont="1" applyFill="1" applyAlignment="1">
      <alignment vertical="center" wrapText="1"/>
    </xf>
    <xf numFmtId="0" fontId="4" fillId="2" borderId="0" xfId="0" applyFont="1" applyFill="1" applyAlignment="1">
      <alignment horizontal="right"/>
    </xf>
    <xf numFmtId="164" fontId="5" fillId="2" borderId="51" xfId="3" applyNumberFormat="1" applyFont="1" applyFill="1" applyBorder="1" applyAlignment="1">
      <alignment horizontal="right" vertical="center"/>
    </xf>
    <xf numFmtId="0" fontId="171" fillId="2" borderId="0" xfId="3" applyFont="1" applyFill="1" applyAlignment="1">
      <alignment horizontal="center"/>
    </xf>
    <xf numFmtId="165" fontId="170" fillId="0" borderId="0" xfId="4" applyNumberFormat="1" applyFont="1" applyFill="1" applyAlignment="1">
      <alignment horizontal="right"/>
    </xf>
    <xf numFmtId="167" fontId="170" fillId="0" borderId="0" xfId="3" applyNumberFormat="1" applyFont="1" applyFill="1" applyAlignment="1">
      <alignment horizontal="right"/>
    </xf>
    <xf numFmtId="165" fontId="6" fillId="2" borderId="0" xfId="4" applyNumberFormat="1" applyFont="1" applyFill="1" applyAlignment="1">
      <alignment horizontal="right"/>
    </xf>
    <xf numFmtId="0" fontId="4" fillId="2" borderId="0" xfId="3" applyFont="1" applyFill="1" applyAlignment="1">
      <alignment horizontal="center" vertical="center"/>
    </xf>
    <xf numFmtId="166" fontId="6" fillId="2" borderId="0" xfId="3" applyNumberFormat="1" applyFont="1" applyFill="1" applyAlignment="1">
      <alignment horizontal="right" vertical="center" wrapText="1"/>
    </xf>
    <xf numFmtId="44" fontId="6" fillId="2" borderId="0" xfId="3" applyNumberFormat="1" applyFont="1" applyFill="1" applyAlignment="1">
      <alignment horizontal="right" vertical="center" wrapText="1"/>
    </xf>
    <xf numFmtId="167" fontId="6" fillId="2" borderId="0" xfId="3" applyNumberFormat="1" applyFont="1" applyFill="1" applyAlignment="1">
      <alignment horizontal="right"/>
    </xf>
    <xf numFmtId="0" fontId="6" fillId="2" borderId="0" xfId="3" applyFont="1" applyFill="1" applyAlignment="1">
      <alignment horizontal="right"/>
    </xf>
    <xf numFmtId="168" fontId="6" fillId="2" borderId="0" xfId="5"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xf numFmtId="0" fontId="4" fillId="106" borderId="0" xfId="3" applyFont="1" applyFill="1" applyAlignment="1">
      <alignment horizontal="center"/>
    </xf>
    <xf numFmtId="0" fontId="4" fillId="106" borderId="0" xfId="3" applyFont="1" applyFill="1"/>
    <xf numFmtId="167" fontId="6" fillId="106" borderId="0" xfId="3" applyNumberFormat="1" applyFont="1" applyFill="1" applyAlignment="1">
      <alignment horizontal="right"/>
    </xf>
    <xf numFmtId="0" fontId="4" fillId="106" borderId="0" xfId="3" applyFont="1" applyFill="1" applyAlignment="1">
      <alignment horizontal="center" vertical="center" wrapText="1"/>
    </xf>
    <xf numFmtId="169" fontId="4" fillId="106" borderId="0" xfId="6" applyNumberFormat="1" applyFont="1" applyFill="1"/>
    <xf numFmtId="10" fontId="6" fillId="2" borderId="0" xfId="2" applyNumberFormat="1" applyFont="1" applyFill="1" applyAlignment="1">
      <alignment horizontal="right"/>
    </xf>
    <xf numFmtId="167" fontId="6" fillId="106" borderId="0" xfId="5" applyNumberFormat="1" applyFont="1" applyFill="1" applyAlignment="1">
      <alignment horizontal="right"/>
    </xf>
    <xf numFmtId="0" fontId="4" fillId="109" borderId="0" xfId="3" applyFont="1" applyFill="1" applyAlignment="1">
      <alignment horizontal="center"/>
    </xf>
    <xf numFmtId="0" fontId="5" fillId="109" borderId="0" xfId="3" applyFont="1" applyFill="1"/>
    <xf numFmtId="0" fontId="5" fillId="109" borderId="0" xfId="3" applyFont="1" applyFill="1" applyAlignment="1">
      <alignment horizontal="center"/>
    </xf>
    <xf numFmtId="167" fontId="7" fillId="109" borderId="2" xfId="5" applyNumberFormat="1" applyFont="1" applyFill="1" applyBorder="1" applyAlignment="1">
      <alignment horizontal="right"/>
    </xf>
    <xf numFmtId="167" fontId="6" fillId="2" borderId="0" xfId="3" applyNumberFormat="1" applyFont="1" applyFill="1" applyBorder="1" applyAlignment="1">
      <alignment horizontal="right"/>
    </xf>
    <xf numFmtId="165" fontId="170" fillId="2" borderId="0" xfId="4" applyNumberFormat="1" applyFont="1" applyFill="1" applyAlignment="1">
      <alignment horizontal="right"/>
    </xf>
    <xf numFmtId="167" fontId="170" fillId="2" borderId="0" xfId="3" applyNumberFormat="1" applyFont="1" applyFill="1" applyAlignment="1">
      <alignment horizontal="right"/>
    </xf>
    <xf numFmtId="166" fontId="4" fillId="2" borderId="0" xfId="3" applyNumberFormat="1" applyFont="1" applyFill="1" applyAlignment="1">
      <alignment horizontal="right"/>
    </xf>
    <xf numFmtId="0" fontId="4" fillId="2" borderId="0" xfId="3" applyFont="1" applyFill="1" applyAlignment="1">
      <alignment wrapText="1"/>
    </xf>
    <xf numFmtId="167" fontId="6" fillId="2" borderId="0" xfId="3" applyNumberFormat="1" applyFont="1" applyFill="1" applyAlignment="1">
      <alignment horizontal="right" vertical="center"/>
    </xf>
    <xf numFmtId="0" fontId="4" fillId="2" borderId="0" xfId="3" applyFont="1" applyFill="1" applyAlignment="1">
      <alignment vertical="center"/>
    </xf>
    <xf numFmtId="167" fontId="4" fillId="2" borderId="0" xfId="3" applyNumberFormat="1" applyFont="1" applyFill="1" applyAlignment="1">
      <alignment horizontal="right" vertical="center"/>
    </xf>
    <xf numFmtId="165" fontId="172" fillId="0" borderId="0" xfId="4" applyNumberFormat="1" applyFont="1" applyFill="1" applyAlignment="1">
      <alignment horizontal="right"/>
    </xf>
    <xf numFmtId="165" fontId="6" fillId="0" borderId="0" xfId="4" applyNumberFormat="1" applyFont="1" applyFill="1" applyAlignment="1">
      <alignment horizontal="right"/>
    </xf>
    <xf numFmtId="167" fontId="172" fillId="0" borderId="0" xfId="3" applyNumberFormat="1" applyFont="1" applyFill="1" applyAlignment="1">
      <alignment horizontal="right"/>
    </xf>
    <xf numFmtId="167" fontId="6" fillId="0" borderId="0" xfId="3" applyNumberFormat="1" applyFont="1" applyFill="1" applyAlignment="1">
      <alignment horizontal="right"/>
    </xf>
    <xf numFmtId="165" fontId="172" fillId="2" borderId="0" xfId="4" applyNumberFormat="1" applyFont="1" applyFill="1" applyAlignment="1">
      <alignment horizontal="right"/>
    </xf>
    <xf numFmtId="167" fontId="172" fillId="2" borderId="0" xfId="3" applyNumberFormat="1" applyFont="1" applyFill="1" applyAlignment="1">
      <alignment horizontal="right"/>
    </xf>
    <xf numFmtId="168" fontId="6" fillId="0" borderId="0" xfId="5" applyNumberFormat="1" applyFont="1" applyFill="1" applyAlignment="1">
      <alignment horizontal="right"/>
    </xf>
    <xf numFmtId="167" fontId="0" fillId="0" borderId="0" xfId="0" applyNumberFormat="1"/>
    <xf numFmtId="0" fontId="0" fillId="0" borderId="0" xfId="0" applyFill="1" applyAlignment="1">
      <alignment vertical="top" wrapText="1"/>
    </xf>
    <xf numFmtId="0" fontId="0" fillId="0" borderId="0" xfId="0" applyAlignment="1">
      <alignment shrinkToFit="1"/>
    </xf>
    <xf numFmtId="166" fontId="0" fillId="0" borderId="0" xfId="0" applyNumberFormat="1"/>
    <xf numFmtId="0" fontId="173" fillId="0" borderId="0" xfId="0" applyFont="1" applyAlignment="1">
      <alignment horizontal="right"/>
    </xf>
    <xf numFmtId="0" fontId="10" fillId="108" borderId="3" xfId="0" applyFont="1" applyFill="1" applyBorder="1" applyAlignment="1">
      <alignment horizontal="left" vertical="center" wrapText="1"/>
    </xf>
    <xf numFmtId="0" fontId="11" fillId="108" borderId="3" xfId="0" applyFont="1" applyFill="1" applyBorder="1" applyAlignment="1">
      <alignment horizontal="left" vertical="top"/>
    </xf>
    <xf numFmtId="0" fontId="10" fillId="108" borderId="3" xfId="0" applyFont="1" applyFill="1" applyBorder="1" applyAlignment="1">
      <alignment horizontal="left" vertical="top"/>
    </xf>
    <xf numFmtId="0" fontId="10" fillId="108" borderId="3" xfId="0" applyFont="1" applyFill="1" applyBorder="1" applyAlignment="1">
      <alignment horizontal="center" vertical="center" wrapText="1"/>
    </xf>
    <xf numFmtId="0" fontId="10" fillId="108" borderId="3" xfId="0" applyFont="1" applyFill="1" applyBorder="1" applyAlignment="1">
      <alignment horizontal="right" vertical="center" wrapText="1"/>
    </xf>
    <xf numFmtId="165" fontId="170" fillId="0" borderId="0" xfId="4" applyNumberFormat="1" applyFont="1" applyFill="1" applyBorder="1" applyAlignment="1">
      <alignment horizontal="right"/>
    </xf>
    <xf numFmtId="167" fontId="170" fillId="0" borderId="0" xfId="3" applyNumberFormat="1" applyFont="1" applyFill="1" applyBorder="1" applyAlignment="1">
      <alignment horizontal="right"/>
    </xf>
    <xf numFmtId="4" fontId="0" fillId="0" borderId="0" xfId="0" applyNumberFormat="1"/>
    <xf numFmtId="202" fontId="169" fillId="0" borderId="0" xfId="0" applyNumberFormat="1" applyFont="1" applyFill="1" applyAlignment="1">
      <alignment vertical="top"/>
    </xf>
    <xf numFmtId="202" fontId="0" fillId="0" borderId="0" xfId="0" applyNumberFormat="1" applyFill="1" applyAlignment="1">
      <alignment vertical="top"/>
    </xf>
    <xf numFmtId="165" fontId="6" fillId="0" borderId="0" xfId="6" applyNumberFormat="1" applyFont="1" applyFill="1"/>
    <xf numFmtId="165" fontId="4" fillId="0" borderId="0" xfId="6" applyNumberFormat="1" applyFont="1" applyFill="1"/>
    <xf numFmtId="165" fontId="6" fillId="2" borderId="0" xfId="6" applyNumberFormat="1" applyFont="1" applyFill="1"/>
    <xf numFmtId="167" fontId="6" fillId="0" borderId="0" xfId="1" applyNumberFormat="1" applyFont="1" applyFill="1"/>
    <xf numFmtId="167" fontId="4" fillId="0" borderId="0" xfId="1" applyNumberFormat="1" applyFont="1" applyFill="1"/>
    <xf numFmtId="167" fontId="6" fillId="2" borderId="0" xfId="1" applyNumberFormat="1" applyFont="1" applyFill="1"/>
    <xf numFmtId="7" fontId="0" fillId="0" borderId="0" xfId="0" applyNumberFormat="1"/>
    <xf numFmtId="0" fontId="11" fillId="106" borderId="3" xfId="0" applyFont="1" applyFill="1" applyBorder="1" applyAlignment="1">
      <alignment horizontal="left" vertical="top"/>
    </xf>
    <xf numFmtId="165" fontId="169" fillId="0" borderId="0" xfId="6" applyNumberFormat="1" applyFont="1" applyFill="1" applyAlignment="1">
      <alignment vertical="top"/>
    </xf>
    <xf numFmtId="166" fontId="169" fillId="0" borderId="0" xfId="0" applyNumberFormat="1" applyFont="1" applyFill="1" applyAlignment="1">
      <alignment vertical="top"/>
    </xf>
    <xf numFmtId="166" fontId="27" fillId="0" borderId="0" xfId="0" applyNumberFormat="1" applyFont="1" applyFill="1" applyAlignment="1">
      <alignment vertical="top"/>
    </xf>
    <xf numFmtId="0" fontId="27" fillId="0" borderId="0" xfId="0" applyFont="1" applyFill="1" applyAlignment="1">
      <alignment horizontal="left" wrapText="1"/>
    </xf>
    <xf numFmtId="0" fontId="27" fillId="0" borderId="0" xfId="0" applyFont="1" applyFill="1"/>
    <xf numFmtId="0" fontId="4" fillId="2" borderId="0" xfId="3" applyFont="1" applyFill="1" applyBorder="1" applyAlignment="1">
      <alignment horizontal="right"/>
    </xf>
    <xf numFmtId="165" fontId="6" fillId="2" borderId="0" xfId="4" applyNumberFormat="1" applyFont="1" applyFill="1" applyBorder="1" applyAlignment="1">
      <alignment horizontal="right"/>
    </xf>
    <xf numFmtId="0" fontId="6" fillId="2" borderId="0" xfId="3" applyFont="1" applyFill="1" applyBorder="1" applyAlignment="1">
      <alignment horizontal="right"/>
    </xf>
    <xf numFmtId="168" fontId="6" fillId="2" borderId="0" xfId="5" applyNumberFormat="1" applyFont="1" applyFill="1" applyBorder="1" applyAlignment="1">
      <alignment horizontal="right"/>
    </xf>
    <xf numFmtId="166" fontId="4" fillId="2" borderId="0" xfId="1" applyNumberFormat="1" applyFont="1" applyFill="1" applyBorder="1" applyAlignment="1">
      <alignment horizontal="right"/>
    </xf>
    <xf numFmtId="166" fontId="6" fillId="2" borderId="0" xfId="3" applyNumberFormat="1" applyFont="1" applyFill="1" applyBorder="1" applyAlignment="1">
      <alignment horizontal="right" vertical="center" wrapText="1"/>
    </xf>
    <xf numFmtId="167" fontId="6" fillId="106" borderId="0" xfId="3" applyNumberFormat="1" applyFont="1" applyFill="1" applyBorder="1" applyAlignment="1">
      <alignment horizontal="right"/>
    </xf>
    <xf numFmtId="167" fontId="6" fillId="106" borderId="0" xfId="5" applyNumberFormat="1" applyFont="1" applyFill="1" applyBorder="1" applyAlignment="1">
      <alignment horizontal="right"/>
    </xf>
    <xf numFmtId="165" fontId="170" fillId="2" borderId="0" xfId="4" applyNumberFormat="1" applyFont="1" applyFill="1" applyBorder="1" applyAlignment="1">
      <alignment horizontal="right"/>
    </xf>
    <xf numFmtId="167" fontId="170" fillId="2" borderId="0" xfId="3" applyNumberFormat="1" applyFont="1" applyFill="1" applyBorder="1" applyAlignment="1">
      <alignment horizontal="right"/>
    </xf>
    <xf numFmtId="166" fontId="4" fillId="2" borderId="0" xfId="3" applyNumberFormat="1" applyFont="1" applyFill="1" applyBorder="1" applyAlignment="1">
      <alignment horizontal="right"/>
    </xf>
    <xf numFmtId="167" fontId="6" fillId="2" borderId="0" xfId="3" applyNumberFormat="1" applyFont="1" applyFill="1" applyBorder="1" applyAlignment="1">
      <alignment horizontal="right" vertical="center"/>
    </xf>
    <xf numFmtId="44" fontId="6" fillId="2" borderId="0" xfId="3" applyNumberFormat="1" applyFont="1" applyFill="1" applyBorder="1" applyAlignment="1">
      <alignment horizontal="right" vertical="center" wrapText="1"/>
    </xf>
    <xf numFmtId="167" fontId="7" fillId="109" borderId="56" xfId="5" applyNumberFormat="1" applyFont="1" applyFill="1" applyBorder="1" applyAlignment="1">
      <alignment horizontal="right"/>
    </xf>
    <xf numFmtId="167" fontId="4" fillId="2" borderId="0" xfId="3" applyNumberFormat="1" applyFont="1" applyFill="1" applyBorder="1" applyAlignment="1">
      <alignment horizontal="right" vertical="center"/>
    </xf>
    <xf numFmtId="0" fontId="4" fillId="2" borderId="0" xfId="3" applyFont="1" applyFill="1" applyBorder="1" applyAlignment="1">
      <alignment horizontal="center"/>
    </xf>
    <xf numFmtId="165" fontId="172" fillId="0" borderId="0" xfId="4" applyNumberFormat="1" applyFont="1" applyFill="1" applyBorder="1" applyAlignment="1">
      <alignment horizontal="right"/>
    </xf>
    <xf numFmtId="167" fontId="172" fillId="0" borderId="0" xfId="3" applyNumberFormat="1" applyFont="1" applyFill="1" applyBorder="1" applyAlignment="1">
      <alignment horizontal="right"/>
    </xf>
    <xf numFmtId="165" fontId="172" fillId="2" borderId="0" xfId="4" applyNumberFormat="1" applyFont="1" applyFill="1" applyBorder="1" applyAlignment="1">
      <alignment horizontal="right"/>
    </xf>
    <xf numFmtId="167" fontId="172" fillId="2" borderId="0" xfId="3" applyNumberFormat="1" applyFont="1" applyFill="1" applyBorder="1" applyAlignment="1">
      <alignment horizontal="right"/>
    </xf>
    <xf numFmtId="167" fontId="174" fillId="2" borderId="0" xfId="3" applyNumberFormat="1" applyFont="1" applyFill="1" applyAlignment="1">
      <alignment horizontal="right"/>
    </xf>
    <xf numFmtId="172" fontId="12" fillId="107" borderId="58" xfId="0" applyNumberFormat="1" applyFont="1" applyFill="1" applyBorder="1" applyAlignment="1">
      <alignment horizontal="right" vertical="center"/>
    </xf>
    <xf numFmtId="172" fontId="12" fillId="107" borderId="58" xfId="7" applyNumberFormat="1" applyFont="1" applyFill="1" applyBorder="1" applyAlignment="1">
      <alignment horizontal="right" vertical="center"/>
    </xf>
    <xf numFmtId="171" fontId="12" fillId="107" borderId="58" xfId="0" applyNumberFormat="1" applyFont="1" applyFill="1" applyBorder="1" applyAlignment="1">
      <alignment horizontal="right" vertical="center"/>
    </xf>
    <xf numFmtId="170" fontId="12" fillId="107" borderId="58" xfId="0" applyNumberFormat="1" applyFont="1" applyFill="1" applyBorder="1" applyAlignment="1">
      <alignment horizontal="right" vertical="center"/>
    </xf>
    <xf numFmtId="168" fontId="4" fillId="0" borderId="0" xfId="1" applyNumberFormat="1" applyFont="1"/>
    <xf numFmtId="168" fontId="175" fillId="2" borderId="0" xfId="5" applyNumberFormat="1" applyFont="1" applyFill="1" applyAlignment="1">
      <alignment horizontal="right"/>
    </xf>
    <xf numFmtId="0" fontId="6" fillId="0" borderId="0" xfId="14" applyFont="1"/>
    <xf numFmtId="168" fontId="175" fillId="2" borderId="0" xfId="5" applyNumberFormat="1" applyFont="1" applyFill="1" applyBorder="1" applyAlignment="1">
      <alignment horizontal="right"/>
    </xf>
    <xf numFmtId="0" fontId="5" fillId="2" borderId="0" xfId="3" applyFont="1" applyFill="1" applyAlignment="1">
      <alignment horizontal="right"/>
    </xf>
    <xf numFmtId="10" fontId="170" fillId="0" borderId="0" xfId="2" applyNumberFormat="1" applyFont="1" applyFill="1" applyAlignment="1">
      <alignment horizontal="right"/>
    </xf>
    <xf numFmtId="164" fontId="5" fillId="0" borderId="51" xfId="3" applyNumberFormat="1" applyFont="1" applyFill="1" applyBorder="1" applyAlignment="1">
      <alignment horizontal="center" vertical="center"/>
    </xf>
    <xf numFmtId="10" fontId="175" fillId="2" borderId="0" xfId="2" applyNumberFormat="1" applyFont="1" applyFill="1" applyAlignment="1">
      <alignment horizontal="right"/>
    </xf>
    <xf numFmtId="0" fontId="176" fillId="2" borderId="0" xfId="3" applyFont="1" applyFill="1" applyAlignment="1">
      <alignment horizontal="right"/>
    </xf>
    <xf numFmtId="165" fontId="176" fillId="0" borderId="0" xfId="4" applyNumberFormat="1" applyFont="1" applyFill="1" applyAlignment="1">
      <alignment horizontal="right"/>
    </xf>
    <xf numFmtId="168" fontId="6" fillId="109" borderId="0" xfId="5" applyNumberFormat="1" applyFont="1" applyFill="1" applyAlignment="1">
      <alignment horizontal="right"/>
    </xf>
    <xf numFmtId="0" fontId="176" fillId="2" borderId="0" xfId="0" applyFont="1" applyFill="1" applyAlignment="1">
      <alignment horizontal="left"/>
    </xf>
    <xf numFmtId="0" fontId="14" fillId="0" borderId="0" xfId="7" applyFont="1" applyFill="1" applyAlignment="1">
      <alignment horizontal="center"/>
    </xf>
    <xf numFmtId="14" fontId="5" fillId="0" borderId="1" xfId="3" applyNumberFormat="1" applyFont="1" applyFill="1" applyBorder="1" applyAlignment="1">
      <alignment horizontal="center" vertical="center"/>
    </xf>
    <xf numFmtId="0" fontId="0" fillId="0" borderId="0" xfId="0" applyFill="1" applyAlignment="1">
      <alignment horizontal="right"/>
    </xf>
    <xf numFmtId="0" fontId="176" fillId="2" borderId="0" xfId="0" applyFont="1" applyFill="1" applyAlignment="1">
      <alignment horizontal="right"/>
    </xf>
    <xf numFmtId="0" fontId="10" fillId="108" borderId="58" xfId="0" applyFont="1" applyFill="1" applyBorder="1" applyAlignment="1">
      <alignment horizontal="center"/>
    </xf>
    <xf numFmtId="0" fontId="10" fillId="0" borderId="4" xfId="0" applyFont="1" applyBorder="1" applyAlignment="1">
      <alignment horizontal="left" vertical="top" wrapText="1"/>
    </xf>
    <xf numFmtId="0" fontId="11" fillId="0" borderId="3" xfId="0" applyFont="1" applyBorder="1" applyAlignment="1">
      <alignment horizontal="left" vertical="top"/>
    </xf>
    <xf numFmtId="0" fontId="10" fillId="0" borderId="53" xfId="0" applyFont="1" applyBorder="1" applyAlignment="1">
      <alignment horizontal="left" vertical="top"/>
    </xf>
    <xf numFmtId="0" fontId="10" fillId="0" borderId="3" xfId="0" applyFont="1" applyBorder="1" applyAlignment="1">
      <alignment horizontal="left" vertical="center"/>
    </xf>
    <xf numFmtId="171" fontId="10" fillId="0" borderId="3" xfId="0" applyNumberFormat="1" applyFont="1" applyBorder="1" applyAlignment="1">
      <alignment horizontal="right" vertical="center"/>
    </xf>
    <xf numFmtId="170" fontId="10" fillId="0" borderId="3" xfId="0" applyNumberFormat="1" applyFont="1" applyBorder="1" applyAlignment="1">
      <alignment horizontal="right" vertical="center"/>
    </xf>
    <xf numFmtId="0" fontId="10" fillId="0" borderId="5" xfId="0" applyFont="1" applyBorder="1" applyAlignment="1">
      <alignment horizontal="left" vertical="top" wrapText="1"/>
    </xf>
    <xf numFmtId="0" fontId="10" fillId="0" borderId="54" xfId="0" applyFont="1" applyBorder="1" applyAlignment="1">
      <alignment horizontal="left" vertical="top"/>
    </xf>
    <xf numFmtId="0" fontId="10" fillId="0" borderId="55" xfId="0" applyFont="1" applyBorder="1" applyAlignment="1">
      <alignment horizontal="left" vertical="top"/>
    </xf>
    <xf numFmtId="172" fontId="12" fillId="106" borderId="0" xfId="7" applyNumberFormat="1" applyFont="1" applyFill="1" applyAlignment="1">
      <alignment horizontal="right" vertical="center"/>
    </xf>
    <xf numFmtId="0" fontId="10" fillId="0" borderId="50" xfId="0" applyFont="1" applyBorder="1" applyAlignment="1">
      <alignment horizontal="left" vertical="top" wrapText="1"/>
    </xf>
    <xf numFmtId="172" fontId="12" fillId="106" borderId="57" xfId="7" applyNumberFormat="1" applyFont="1" applyFill="1" applyBorder="1" applyAlignment="1">
      <alignment horizontal="right" vertical="center"/>
    </xf>
    <xf numFmtId="0" fontId="12" fillId="107" borderId="3" xfId="7" applyFont="1" applyFill="1" applyBorder="1" applyAlignment="1">
      <alignment horizontal="right" vertical="center"/>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50" xfId="0" applyFont="1" applyBorder="1" applyAlignment="1">
      <alignment horizontal="left" vertical="top"/>
    </xf>
    <xf numFmtId="172" fontId="12" fillId="0" borderId="0" xfId="7" applyNumberFormat="1" applyFont="1" applyAlignment="1">
      <alignment horizontal="right" vertical="center"/>
    </xf>
    <xf numFmtId="171" fontId="12" fillId="0" borderId="0" xfId="7" applyNumberFormat="1" applyFont="1" applyAlignment="1">
      <alignment horizontal="right" vertical="center"/>
    </xf>
    <xf numFmtId="170" fontId="12" fillId="0" borderId="0" xfId="7" applyNumberFormat="1" applyFont="1" applyAlignment="1">
      <alignment horizontal="right" vertical="center"/>
    </xf>
    <xf numFmtId="0" fontId="10" fillId="0" borderId="3" xfId="0" applyFont="1" applyBorder="1" applyAlignment="1">
      <alignment horizontal="left" vertical="top"/>
    </xf>
    <xf numFmtId="172" fontId="12" fillId="0" borderId="0" xfId="7" applyNumberFormat="1" applyFont="1" applyAlignment="1">
      <alignment horizontal="left" vertical="center"/>
    </xf>
    <xf numFmtId="172" fontId="12" fillId="0" borderId="0" xfId="7" applyNumberFormat="1" applyFont="1" applyAlignment="1">
      <alignment vertical="center"/>
    </xf>
    <xf numFmtId="0" fontId="14" fillId="0" borderId="0" xfId="7" applyFont="1"/>
    <xf numFmtId="172" fontId="12" fillId="0" borderId="0" xfId="0" applyNumberFormat="1" applyFont="1" applyAlignment="1">
      <alignment horizontal="right" vertical="center"/>
    </xf>
    <xf numFmtId="0" fontId="12" fillId="0" borderId="0" xfId="7" applyFont="1" applyAlignment="1">
      <alignment horizontal="right" vertical="center"/>
    </xf>
    <xf numFmtId="171" fontId="12" fillId="0" borderId="0" xfId="0" applyNumberFormat="1" applyFont="1" applyAlignment="1">
      <alignment horizontal="right" vertical="center"/>
    </xf>
    <xf numFmtId="170" fontId="12" fillId="0" borderId="0" xfId="0" applyNumberFormat="1" applyFont="1" applyAlignment="1">
      <alignment horizontal="right" vertical="center"/>
    </xf>
    <xf numFmtId="0" fontId="10" fillId="0" borderId="0" xfId="0" applyFont="1" applyAlignment="1">
      <alignment horizontal="left" vertical="top" wrapText="1"/>
    </xf>
    <xf numFmtId="0" fontId="29" fillId="0" borderId="0" xfId="0" applyFont="1"/>
    <xf numFmtId="0" fontId="11" fillId="0" borderId="57" xfId="0" applyFont="1" applyBorder="1" applyAlignment="1">
      <alignment horizontal="left" vertical="top"/>
    </xf>
    <xf numFmtId="0" fontId="10" fillId="0" borderId="57" xfId="0" applyFont="1" applyBorder="1" applyAlignment="1">
      <alignment horizontal="left" vertical="center"/>
    </xf>
    <xf numFmtId="171" fontId="10" fillId="0" borderId="57" xfId="0" applyNumberFormat="1" applyFont="1" applyBorder="1" applyAlignment="1">
      <alignment horizontal="right" vertical="center"/>
    </xf>
    <xf numFmtId="170" fontId="10" fillId="0" borderId="57" xfId="0" applyNumberFormat="1" applyFont="1" applyBorder="1" applyAlignment="1">
      <alignment horizontal="right" vertical="center"/>
    </xf>
    <xf numFmtId="0" fontId="0" fillId="0" borderId="0" xfId="0" applyFill="1" applyAlignment="1">
      <alignment wrapText="1"/>
    </xf>
    <xf numFmtId="0" fontId="0" fillId="0" borderId="57" xfId="0" applyFill="1" applyBorder="1" applyAlignment="1">
      <alignment wrapText="1"/>
    </xf>
    <xf numFmtId="0" fontId="5" fillId="2" borderId="0" xfId="3" applyFont="1" applyFill="1" applyBorder="1" applyAlignment="1">
      <alignment horizontal="center" wrapText="1"/>
    </xf>
    <xf numFmtId="0" fontId="5" fillId="2" borderId="51" xfId="3" applyFont="1" applyFill="1" applyBorder="1" applyAlignment="1">
      <alignment horizontal="center" wrapText="1"/>
    </xf>
    <xf numFmtId="164" fontId="5" fillId="0" borderId="0" xfId="3" applyNumberFormat="1" applyFont="1" applyFill="1" applyBorder="1" applyAlignment="1">
      <alignment horizontal="center" vertical="center"/>
    </xf>
    <xf numFmtId="0" fontId="0" fillId="0" borderId="0" xfId="0" applyFill="1" applyAlignment="1">
      <alignment horizontal="justify" vertical="justify" wrapText="1"/>
    </xf>
    <xf numFmtId="0" fontId="13" fillId="0" borderId="0" xfId="0" applyFont="1" applyAlignment="1">
      <alignment horizontal="center"/>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center"/>
    </xf>
    <xf numFmtId="0" fontId="0" fillId="0" borderId="0" xfId="0" applyAlignment="1">
      <alignment horizontal="justify" vertical="top" wrapText="1"/>
    </xf>
    <xf numFmtId="167" fontId="6" fillId="110" borderId="0" xfId="3" applyNumberFormat="1" applyFont="1" applyFill="1" applyAlignment="1">
      <alignment horizontal="right"/>
    </xf>
    <xf numFmtId="0" fontId="0" fillId="110" borderId="0" xfId="0" applyFill="1"/>
    <xf numFmtId="0" fontId="0" fillId="0" borderId="0" xfId="0" applyFill="1" applyAlignment="1">
      <alignment horizontal="left" vertical="top"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99"/>
  <sheetViews>
    <sheetView tabSelected="1" topLeftCell="A64" zoomScaleNormal="100" zoomScaleSheetLayoutView="83" workbookViewId="0">
      <selection activeCell="C103" sqref="C103"/>
    </sheetView>
  </sheetViews>
  <sheetFormatPr defaultRowHeight="14.5"/>
  <cols>
    <col min="1" max="1" width="5.7265625" customWidth="1"/>
    <col min="2" max="2" width="40.1796875" customWidth="1"/>
    <col min="3" max="3" width="19.26953125" customWidth="1"/>
    <col min="4" max="4" width="13.7265625" hidden="1" customWidth="1"/>
    <col min="5" max="5" width="14.54296875" hidden="1" customWidth="1"/>
    <col min="6" max="6" width="13.54296875" hidden="1" customWidth="1"/>
    <col min="7" max="9" width="12.26953125" hidden="1" customWidth="1"/>
    <col min="10" max="11" width="11.81640625" hidden="1" customWidth="1"/>
    <col min="12" max="13" width="12.54296875" hidden="1" customWidth="1"/>
    <col min="14" max="15" width="12.81640625" hidden="1" customWidth="1"/>
    <col min="16" max="18" width="12.81640625" style="31" hidden="1" customWidth="1"/>
    <col min="19" max="21" width="12.81640625" style="31" customWidth="1"/>
    <col min="22" max="25" width="12.81640625" hidden="1" customWidth="1"/>
    <col min="26" max="26" width="12.81640625" style="31" hidden="1" customWidth="1"/>
    <col min="27" max="27" width="12.81640625" style="31" customWidth="1"/>
    <col min="28" max="28" width="14.54296875" hidden="1" customWidth="1"/>
    <col min="29" max="29" width="15" style="31" customWidth="1"/>
    <col min="30" max="30" width="11.54296875" customWidth="1"/>
    <col min="31" max="31" width="12.26953125" bestFit="1" customWidth="1"/>
    <col min="32" max="32" width="10.7265625" bestFit="1" customWidth="1"/>
    <col min="33" max="33" width="12.26953125" bestFit="1" customWidth="1"/>
    <col min="34" max="34" width="10.7265625" bestFit="1" customWidth="1"/>
    <col min="35" max="36" width="10" bestFit="1" customWidth="1"/>
  </cols>
  <sheetData>
    <row r="1" spans="1:30" ht="15.5">
      <c r="A1" s="65" t="s">
        <v>0</v>
      </c>
      <c r="B1" s="65"/>
      <c r="C1" s="65"/>
      <c r="D1" s="65"/>
      <c r="E1" s="65"/>
      <c r="F1" s="65"/>
      <c r="G1" s="65"/>
      <c r="H1" s="65"/>
      <c r="I1" s="65"/>
      <c r="J1" s="65"/>
      <c r="K1" s="65"/>
      <c r="L1" s="65"/>
      <c r="M1" s="65"/>
      <c r="N1" s="65"/>
      <c r="O1" s="65"/>
      <c r="P1" s="65"/>
      <c r="Q1" s="65"/>
      <c r="R1" s="65"/>
      <c r="S1" s="65"/>
      <c r="T1" s="65"/>
      <c r="U1" s="65"/>
    </row>
    <row r="2" spans="1:30" ht="15.5">
      <c r="A2" s="65" t="s">
        <v>72</v>
      </c>
      <c r="B2" s="65"/>
      <c r="C2" s="65"/>
      <c r="D2" s="65"/>
      <c r="E2" s="65"/>
      <c r="F2" s="65"/>
      <c r="G2" s="65"/>
      <c r="H2" s="65"/>
      <c r="I2" s="65"/>
      <c r="J2" s="65"/>
      <c r="K2" s="65"/>
      <c r="L2" s="65"/>
      <c r="M2" s="65"/>
      <c r="N2" s="65"/>
      <c r="O2" s="65"/>
      <c r="P2" s="65"/>
      <c r="Q2" s="65"/>
      <c r="R2" s="65"/>
      <c r="S2" s="65"/>
      <c r="T2" s="65"/>
      <c r="U2" s="65"/>
    </row>
    <row r="3" spans="1:30" ht="15.5">
      <c r="A3" s="66" t="s">
        <v>158</v>
      </c>
      <c r="B3" s="65"/>
      <c r="C3" s="65"/>
      <c r="D3" s="65"/>
      <c r="E3" s="65"/>
      <c r="F3" s="65"/>
      <c r="G3" s="65"/>
      <c r="H3" s="65"/>
      <c r="I3" s="65"/>
      <c r="J3" s="65"/>
      <c r="K3" s="65"/>
      <c r="L3" s="65"/>
      <c r="M3" s="65"/>
      <c r="N3" s="65"/>
      <c r="O3" s="65"/>
      <c r="P3" s="65"/>
      <c r="Q3" s="65"/>
      <c r="R3" s="65"/>
      <c r="S3" s="65"/>
      <c r="T3" s="65"/>
      <c r="U3" s="65"/>
    </row>
    <row r="4" spans="1:30" ht="18.75" customHeight="1">
      <c r="A4" s="65" t="s">
        <v>149</v>
      </c>
      <c r="B4" s="51"/>
      <c r="C4" s="51"/>
      <c r="D4" s="69"/>
      <c r="E4" s="69"/>
      <c r="F4" s="69"/>
      <c r="G4" s="69"/>
      <c r="H4" s="69"/>
      <c r="I4" s="69"/>
      <c r="J4" s="69"/>
      <c r="K4" s="69"/>
      <c r="L4" s="69"/>
      <c r="M4" s="69"/>
      <c r="N4" s="69"/>
      <c r="O4" s="69"/>
      <c r="P4" s="173" t="s">
        <v>160</v>
      </c>
      <c r="Q4" s="69"/>
      <c r="R4" s="69"/>
      <c r="S4" s="69"/>
      <c r="T4" s="69"/>
      <c r="U4" s="69"/>
    </row>
    <row r="5" spans="1:30" ht="27" customHeight="1">
      <c r="A5" s="214" t="s">
        <v>1</v>
      </c>
      <c r="B5" s="13"/>
      <c r="C5" s="13"/>
      <c r="D5" s="3"/>
      <c r="E5" s="3"/>
      <c r="F5" s="3"/>
      <c r="G5" s="3"/>
      <c r="H5" s="3"/>
      <c r="I5" s="3"/>
      <c r="J5" s="3"/>
      <c r="K5" s="3"/>
      <c r="L5" s="3"/>
      <c r="M5" s="3"/>
      <c r="N5" s="3"/>
      <c r="O5" s="3"/>
      <c r="P5" s="170" t="s">
        <v>73</v>
      </c>
      <c r="Q5" s="170" t="s">
        <v>73</v>
      </c>
      <c r="R5" s="170" t="s">
        <v>73</v>
      </c>
      <c r="S5" s="3"/>
      <c r="T5" s="3"/>
      <c r="U5" s="170" t="s">
        <v>73</v>
      </c>
      <c r="V5" s="57" t="s">
        <v>151</v>
      </c>
      <c r="W5" s="57" t="s">
        <v>152</v>
      </c>
      <c r="X5" s="57" t="s">
        <v>153</v>
      </c>
      <c r="Y5" s="57" t="s">
        <v>154</v>
      </c>
      <c r="Z5" s="57" t="s">
        <v>155</v>
      </c>
      <c r="AA5" s="57" t="s">
        <v>156</v>
      </c>
      <c r="AB5" s="57">
        <v>2020</v>
      </c>
      <c r="AC5" s="57" t="s">
        <v>164</v>
      </c>
    </row>
    <row r="6" spans="1:30" ht="13.9" customHeight="1">
      <c r="A6" s="215"/>
      <c r="B6" s="53"/>
      <c r="C6" s="50" t="s">
        <v>2</v>
      </c>
      <c r="D6" s="70">
        <v>43831</v>
      </c>
      <c r="E6" s="70">
        <f t="shared" ref="E6:O6" si="0">EDATE(D6,1)</f>
        <v>43862</v>
      </c>
      <c r="F6" s="70">
        <f t="shared" si="0"/>
        <v>43891</v>
      </c>
      <c r="G6" s="70">
        <f t="shared" si="0"/>
        <v>43922</v>
      </c>
      <c r="H6" s="70">
        <f t="shared" si="0"/>
        <v>43952</v>
      </c>
      <c r="I6" s="70">
        <f t="shared" si="0"/>
        <v>43983</v>
      </c>
      <c r="J6" s="70">
        <f t="shared" si="0"/>
        <v>44013</v>
      </c>
      <c r="K6" s="70">
        <f t="shared" si="0"/>
        <v>44044</v>
      </c>
      <c r="L6" s="70">
        <f t="shared" si="0"/>
        <v>44075</v>
      </c>
      <c r="M6" s="70">
        <f t="shared" si="0"/>
        <v>44105</v>
      </c>
      <c r="N6" s="70">
        <f t="shared" si="0"/>
        <v>44136</v>
      </c>
      <c r="O6" s="70">
        <f t="shared" si="0"/>
        <v>44166</v>
      </c>
      <c r="P6" s="70">
        <f t="shared" ref="P6" si="1">EDATE(O6,1)</f>
        <v>44197</v>
      </c>
      <c r="Q6" s="70">
        <f t="shared" ref="Q6" si="2">EDATE(P6,1)</f>
        <v>44228</v>
      </c>
      <c r="R6" s="70">
        <f t="shared" ref="R6" si="3">EDATE(Q6,1)</f>
        <v>44256</v>
      </c>
      <c r="S6" s="70">
        <f t="shared" ref="S6" si="4">EDATE(R6,1)</f>
        <v>44287</v>
      </c>
      <c r="T6" s="70">
        <f t="shared" ref="T6" si="5">EDATE(S6,1)</f>
        <v>44317</v>
      </c>
      <c r="U6" s="70">
        <f t="shared" ref="U6" si="6">EDATE(T6,1)</f>
        <v>44348</v>
      </c>
      <c r="V6" s="58" t="s">
        <v>3</v>
      </c>
      <c r="W6" s="58" t="s">
        <v>3</v>
      </c>
      <c r="X6" s="58" t="s">
        <v>3</v>
      </c>
      <c r="Y6" s="58" t="s">
        <v>3</v>
      </c>
      <c r="Z6" s="168" t="s">
        <v>3</v>
      </c>
      <c r="AA6" s="58" t="s">
        <v>3</v>
      </c>
      <c r="AB6" s="58" t="s">
        <v>3</v>
      </c>
      <c r="AC6" s="175">
        <v>44377</v>
      </c>
    </row>
    <row r="7" spans="1:30">
      <c r="A7" s="28"/>
      <c r="B7" s="28" t="s">
        <v>4</v>
      </c>
      <c r="C7" s="28" t="s">
        <v>5</v>
      </c>
      <c r="D7" s="3" t="s">
        <v>6</v>
      </c>
      <c r="E7" s="3" t="s">
        <v>7</v>
      </c>
      <c r="F7" s="3" t="s">
        <v>8</v>
      </c>
      <c r="G7" s="3" t="s">
        <v>9</v>
      </c>
      <c r="H7" s="3" t="s">
        <v>10</v>
      </c>
      <c r="I7" s="137" t="s">
        <v>11</v>
      </c>
      <c r="J7" s="3" t="s">
        <v>12</v>
      </c>
      <c r="K7" s="3" t="s">
        <v>13</v>
      </c>
      <c r="L7" s="3" t="s">
        <v>14</v>
      </c>
      <c r="M7" s="3" t="s">
        <v>15</v>
      </c>
      <c r="N7" s="3" t="s">
        <v>16</v>
      </c>
      <c r="O7" s="3" t="s">
        <v>17</v>
      </c>
      <c r="P7" s="3" t="s">
        <v>18</v>
      </c>
      <c r="Q7" s="3" t="s">
        <v>109</v>
      </c>
      <c r="R7" s="3" t="s">
        <v>110</v>
      </c>
      <c r="S7" s="3" t="s">
        <v>111</v>
      </c>
      <c r="T7" s="3" t="s">
        <v>112</v>
      </c>
      <c r="U7" s="3" t="s">
        <v>157</v>
      </c>
      <c r="V7" s="4"/>
      <c r="W7" s="4"/>
      <c r="X7" s="4"/>
      <c r="Y7" s="4"/>
      <c r="Z7" s="4"/>
      <c r="AA7" s="4"/>
      <c r="AB7" s="5"/>
      <c r="AC7" s="5"/>
    </row>
    <row r="8" spans="1:30">
      <c r="A8" s="28"/>
      <c r="B8" s="1" t="s">
        <v>19</v>
      </c>
      <c r="C8" s="28"/>
      <c r="D8" s="3"/>
      <c r="E8" s="3"/>
      <c r="F8" s="3"/>
      <c r="G8" s="3"/>
      <c r="H8" s="3"/>
      <c r="I8" s="137"/>
      <c r="J8" s="3"/>
      <c r="K8" s="3"/>
      <c r="L8" s="3"/>
      <c r="M8" s="3"/>
      <c r="N8" s="3"/>
      <c r="O8" s="3"/>
      <c r="P8" s="3"/>
      <c r="Q8" s="3"/>
      <c r="R8" s="3"/>
      <c r="S8" s="3"/>
      <c r="T8" s="3"/>
      <c r="U8" s="3"/>
      <c r="V8" s="62"/>
      <c r="W8" s="62"/>
      <c r="X8" s="62"/>
      <c r="Y8" s="62"/>
      <c r="Z8" s="62"/>
      <c r="AA8" s="62"/>
      <c r="AB8" s="5"/>
      <c r="AC8" s="5"/>
    </row>
    <row r="9" spans="1:30" ht="6.65" customHeight="1">
      <c r="A9" s="28"/>
      <c r="B9" s="71"/>
      <c r="C9" s="28"/>
      <c r="D9" s="3"/>
      <c r="E9" s="3"/>
      <c r="F9" s="3"/>
      <c r="G9" s="3"/>
      <c r="H9" s="3"/>
      <c r="I9" s="137"/>
      <c r="J9" s="3"/>
      <c r="K9" s="3"/>
      <c r="L9" s="3"/>
      <c r="M9" s="3"/>
      <c r="N9" s="3"/>
      <c r="O9" s="3"/>
      <c r="P9" s="3"/>
      <c r="Q9" s="3"/>
      <c r="R9" s="3"/>
      <c r="S9" s="3"/>
      <c r="T9" s="3"/>
      <c r="U9" s="3"/>
      <c r="V9" s="59"/>
      <c r="W9" s="59"/>
      <c r="X9" s="59"/>
      <c r="Y9" s="59"/>
      <c r="Z9" s="59"/>
      <c r="AA9" s="59"/>
      <c r="AB9" s="60"/>
      <c r="AC9" s="60"/>
    </row>
    <row r="10" spans="1:30">
      <c r="A10" s="28">
        <v>1</v>
      </c>
      <c r="B10" s="13" t="s">
        <v>74</v>
      </c>
      <c r="C10" s="28" t="s">
        <v>75</v>
      </c>
      <c r="D10" s="72">
        <v>111133</v>
      </c>
      <c r="E10" s="72">
        <v>111092</v>
      </c>
      <c r="F10" s="72">
        <v>111247</v>
      </c>
      <c r="G10" s="72">
        <v>111211</v>
      </c>
      <c r="H10" s="72">
        <v>111298</v>
      </c>
      <c r="I10" s="119">
        <v>111448</v>
      </c>
      <c r="J10" s="72">
        <v>111529</v>
      </c>
      <c r="K10" s="72">
        <v>111819</v>
      </c>
      <c r="L10" s="72">
        <v>112180</v>
      </c>
      <c r="M10" s="72">
        <v>112453</v>
      </c>
      <c r="N10" s="72">
        <v>112507</v>
      </c>
      <c r="O10" s="72">
        <v>113144</v>
      </c>
      <c r="P10" s="171">
        <v>113403</v>
      </c>
      <c r="Q10" s="171">
        <v>113403</v>
      </c>
      <c r="R10" s="171">
        <v>113403</v>
      </c>
      <c r="S10" s="72">
        <v>113778</v>
      </c>
      <c r="T10" s="72">
        <v>113721</v>
      </c>
      <c r="U10" s="72">
        <v>114017</v>
      </c>
      <c r="V10" s="59">
        <f>SUM(D10:F10)</f>
        <v>333472</v>
      </c>
      <c r="W10" s="59">
        <f>SUM(G10:I10)</f>
        <v>333957</v>
      </c>
      <c r="X10" s="59">
        <f>SUM(J10:L10)</f>
        <v>335528</v>
      </c>
      <c r="Y10" s="59">
        <f>SUM(M10:O10)</f>
        <v>338104</v>
      </c>
      <c r="Z10" s="59">
        <f>SUM(P10:R10)</f>
        <v>340209</v>
      </c>
      <c r="AA10" s="59">
        <f>SUM(S10:U10)</f>
        <v>341516</v>
      </c>
      <c r="AB10" s="60">
        <f>SUM(D10:O10)</f>
        <v>1341061</v>
      </c>
      <c r="AC10" s="60">
        <f>SUM(D10:U10)</f>
        <v>2022786</v>
      </c>
    </row>
    <row r="11" spans="1:30">
      <c r="A11" s="49">
        <v>2</v>
      </c>
      <c r="B11" s="13" t="s">
        <v>76</v>
      </c>
      <c r="C11" s="28" t="s">
        <v>75</v>
      </c>
      <c r="D11" s="72">
        <v>131977332.57297</v>
      </c>
      <c r="E11" s="72">
        <v>112660996.28200001</v>
      </c>
      <c r="F11" s="72">
        <v>108927663.517</v>
      </c>
      <c r="G11" s="72">
        <v>98367238.101999998</v>
      </c>
      <c r="H11" s="72">
        <v>79792373.541999996</v>
      </c>
      <c r="I11" s="119">
        <v>78582678.178000003</v>
      </c>
      <c r="J11" s="72">
        <v>92912909.840000004</v>
      </c>
      <c r="K11" s="72">
        <v>94735562.741999999</v>
      </c>
      <c r="L11" s="72">
        <v>73727235.342999995</v>
      </c>
      <c r="M11" s="72">
        <v>87903703.728</v>
      </c>
      <c r="N11" s="72">
        <v>119731375.612</v>
      </c>
      <c r="O11" s="72">
        <v>138839649.63600001</v>
      </c>
      <c r="P11" s="72">
        <v>130191674.21200001</v>
      </c>
      <c r="Q11" s="72">
        <v>122388587.722</v>
      </c>
      <c r="R11" s="72">
        <v>110359217.234</v>
      </c>
      <c r="S11" s="72">
        <v>92016869.247999996</v>
      </c>
      <c r="T11" s="72">
        <v>83750381.030000001</v>
      </c>
      <c r="U11" s="72">
        <v>97266950.583000004</v>
      </c>
      <c r="V11" s="59">
        <f>SUM(D11:F11)</f>
        <v>353565992.37197</v>
      </c>
      <c r="W11" s="59">
        <f>SUM(G11:I11)</f>
        <v>256742289.822</v>
      </c>
      <c r="X11" s="59">
        <f>SUM(J11:L11)</f>
        <v>261375707.92500001</v>
      </c>
      <c r="Y11" s="59">
        <f>SUM(M11:O11)</f>
        <v>346474728.97600001</v>
      </c>
      <c r="Z11" s="59">
        <f>SUM(P11:R11)</f>
        <v>362939479.16799998</v>
      </c>
      <c r="AA11" s="59">
        <f t="shared" ref="AA11:AA12" si="7">SUM(S11:U11)</f>
        <v>273034200.861</v>
      </c>
      <c r="AB11" s="60">
        <f>SUM(D11:O11)</f>
        <v>1218158719.09497</v>
      </c>
      <c r="AC11" s="60">
        <f t="shared" ref="AC11:AC13" si="8">SUM(D11:U11)</f>
        <v>1854132399.12397</v>
      </c>
      <c r="AD11" s="8"/>
    </row>
    <row r="12" spans="1:30">
      <c r="A12" s="28">
        <v>3</v>
      </c>
      <c r="B12" s="13" t="s">
        <v>77</v>
      </c>
      <c r="C12" s="28" t="s">
        <v>75</v>
      </c>
      <c r="D12" s="73">
        <v>12566377.08808</v>
      </c>
      <c r="E12" s="72">
        <v>10835284.486200001</v>
      </c>
      <c r="F12" s="73">
        <v>10456628.08536</v>
      </c>
      <c r="G12" s="73">
        <v>9448781.2669599988</v>
      </c>
      <c r="H12" s="73">
        <v>7682373.2822400006</v>
      </c>
      <c r="I12" s="120">
        <v>7590478.7605599994</v>
      </c>
      <c r="J12" s="73">
        <v>8923192.5665600002</v>
      </c>
      <c r="K12" s="73">
        <v>9183201.5165599994</v>
      </c>
      <c r="L12" s="73">
        <v>7143581.5773599995</v>
      </c>
      <c r="M12" s="73">
        <v>8422230.6180399992</v>
      </c>
      <c r="N12" s="73">
        <v>11465003.17694</v>
      </c>
      <c r="O12" s="73">
        <v>13304820.646319998</v>
      </c>
      <c r="P12" s="73">
        <v>12441010.09894</v>
      </c>
      <c r="Q12" s="73">
        <v>11735531.145020001</v>
      </c>
      <c r="R12" s="73">
        <v>10621319.026520001</v>
      </c>
      <c r="S12" s="73">
        <v>8855219.1113799997</v>
      </c>
      <c r="T12" s="73">
        <v>8083554.2221600004</v>
      </c>
      <c r="U12" s="73">
        <v>9293835.10922</v>
      </c>
      <c r="V12" s="127">
        <f t="shared" ref="V12:V13" si="9">SUM(D12:F12)</f>
        <v>33858289.659639999</v>
      </c>
      <c r="W12" s="127">
        <f t="shared" ref="W12:W13" si="10">SUM(G12:I12)</f>
        <v>24721633.309759997</v>
      </c>
      <c r="X12" s="127">
        <f t="shared" ref="X12:X13" si="11">SUM(J12:L12)</f>
        <v>25249975.66048</v>
      </c>
      <c r="Y12" s="127">
        <f t="shared" ref="Y12:Y13" si="12">SUM(M12:O12)</f>
        <v>33192054.441299997</v>
      </c>
      <c r="Z12" s="127">
        <f>SUM(P12:R12)</f>
        <v>34797860.270479999</v>
      </c>
      <c r="AA12" s="59">
        <f t="shared" si="7"/>
        <v>26232608.442759998</v>
      </c>
      <c r="AB12" s="128">
        <f>SUM(D12:O12)</f>
        <v>117021953.07117999</v>
      </c>
      <c r="AC12" s="60">
        <f t="shared" si="8"/>
        <v>178052421.78442001</v>
      </c>
    </row>
    <row r="13" spans="1:30">
      <c r="A13" s="49">
        <v>4</v>
      </c>
      <c r="B13" s="13" t="s">
        <v>78</v>
      </c>
      <c r="C13" s="28" t="s">
        <v>75</v>
      </c>
      <c r="D13" s="73">
        <v>669949.19999999995</v>
      </c>
      <c r="E13" s="73">
        <v>668430</v>
      </c>
      <c r="F13" s="73">
        <v>670323</v>
      </c>
      <c r="G13" s="73">
        <v>670034.4</v>
      </c>
      <c r="H13" s="73">
        <v>670494.4</v>
      </c>
      <c r="I13" s="120">
        <v>673124.8</v>
      </c>
      <c r="J13" s="73">
        <v>673340.2</v>
      </c>
      <c r="K13" s="73">
        <v>675333.8</v>
      </c>
      <c r="L13" s="73">
        <v>676360.4</v>
      </c>
      <c r="M13" s="73">
        <v>677067.6</v>
      </c>
      <c r="N13" s="73">
        <v>675192.8</v>
      </c>
      <c r="O13" s="73">
        <v>681764</v>
      </c>
      <c r="P13" s="73">
        <v>650701</v>
      </c>
      <c r="Q13" s="73">
        <v>661617.6</v>
      </c>
      <c r="R13" s="73">
        <v>736009.4</v>
      </c>
      <c r="S13" s="73">
        <v>684902.6</v>
      </c>
      <c r="T13" s="73">
        <v>684801</v>
      </c>
      <c r="U13" s="73">
        <v>688659.4</v>
      </c>
      <c r="V13" s="127">
        <f t="shared" si="9"/>
        <v>2008702.2</v>
      </c>
      <c r="W13" s="127">
        <f t="shared" si="10"/>
        <v>2013653.6</v>
      </c>
      <c r="X13" s="127">
        <f t="shared" si="11"/>
        <v>2025034.4</v>
      </c>
      <c r="Y13" s="127">
        <f t="shared" si="12"/>
        <v>2034024.4</v>
      </c>
      <c r="Z13" s="127">
        <f>SUM(P13:R13)</f>
        <v>2048328</v>
      </c>
      <c r="AA13" s="59">
        <f>SUM(S13:U13)</f>
        <v>2058363</v>
      </c>
      <c r="AB13" s="128">
        <f>SUM(D13:O13)</f>
        <v>8081414.5999999996</v>
      </c>
      <c r="AC13" s="60">
        <f t="shared" si="8"/>
        <v>12188105.6</v>
      </c>
    </row>
    <row r="14" spans="1:30" ht="6.65" customHeight="1">
      <c r="A14" s="28"/>
      <c r="B14" s="13"/>
      <c r="C14" s="28"/>
      <c r="D14" s="74"/>
      <c r="E14" s="74"/>
      <c r="F14" s="74"/>
      <c r="G14" s="74"/>
      <c r="H14" s="74"/>
      <c r="I14" s="138"/>
      <c r="J14" s="74"/>
      <c r="K14" s="74"/>
      <c r="L14" s="74"/>
      <c r="M14" s="74"/>
      <c r="N14" s="74"/>
      <c r="O14" s="74"/>
      <c r="P14" s="74"/>
      <c r="Q14" s="74"/>
      <c r="R14" s="74"/>
      <c r="S14" s="74"/>
      <c r="T14" s="74"/>
      <c r="U14" s="74"/>
      <c r="AB14" s="60"/>
      <c r="AC14" s="60"/>
    </row>
    <row r="15" spans="1:30">
      <c r="A15" s="49"/>
      <c r="B15" s="71" t="s">
        <v>79</v>
      </c>
      <c r="C15" s="28"/>
      <c r="D15" s="74"/>
      <c r="E15" s="74"/>
      <c r="F15" s="74"/>
      <c r="G15" s="74"/>
      <c r="H15" s="74"/>
      <c r="I15" s="138"/>
      <c r="J15" s="74"/>
      <c r="K15" s="74"/>
      <c r="L15" s="74"/>
      <c r="M15" s="74"/>
      <c r="N15" s="74"/>
      <c r="O15" s="74"/>
      <c r="P15" s="74"/>
      <c r="Q15" s="74"/>
      <c r="R15" s="74"/>
      <c r="S15" s="74"/>
      <c r="T15" s="74"/>
      <c r="U15" s="74"/>
      <c r="AB15" s="60"/>
      <c r="AC15" s="60"/>
    </row>
    <row r="16" spans="1:30">
      <c r="A16" s="28">
        <v>5</v>
      </c>
      <c r="B16" s="13" t="s">
        <v>80</v>
      </c>
      <c r="C16" s="28" t="str">
        <f>"("&amp;A10&amp;") - ("&amp;A30&amp;")"</f>
        <v>(1) - (16)</v>
      </c>
      <c r="D16" s="74">
        <f t="shared" ref="D16:O16" si="13">D10-D30</f>
        <v>108935</v>
      </c>
      <c r="E16" s="74">
        <f t="shared" si="13"/>
        <v>108550</v>
      </c>
      <c r="F16" s="74">
        <f t="shared" si="13"/>
        <v>108632</v>
      </c>
      <c r="G16" s="74">
        <f t="shared" si="13"/>
        <v>108397</v>
      </c>
      <c r="H16" s="74">
        <f t="shared" si="13"/>
        <v>108270</v>
      </c>
      <c r="I16" s="138">
        <f t="shared" si="13"/>
        <v>108257</v>
      </c>
      <c r="J16" s="74">
        <f>J10-J30</f>
        <v>108080</v>
      </c>
      <c r="K16" s="74">
        <f t="shared" si="13"/>
        <v>108110</v>
      </c>
      <c r="L16" s="74">
        <f t="shared" si="13"/>
        <v>108266</v>
      </c>
      <c r="M16" s="74">
        <f t="shared" si="13"/>
        <v>108378</v>
      </c>
      <c r="N16" s="74">
        <f t="shared" si="13"/>
        <v>108115</v>
      </c>
      <c r="O16" s="74">
        <f t="shared" si="13"/>
        <v>108581</v>
      </c>
      <c r="P16" s="74">
        <f t="shared" ref="P16:U16" si="14">P10-P30</f>
        <v>108666</v>
      </c>
      <c r="Q16" s="74">
        <f t="shared" si="14"/>
        <v>108799</v>
      </c>
      <c r="R16" s="74">
        <f t="shared" si="14"/>
        <v>108003</v>
      </c>
      <c r="S16" s="74">
        <f t="shared" si="14"/>
        <v>108372</v>
      </c>
      <c r="T16" s="74">
        <f t="shared" si="14"/>
        <v>108137</v>
      </c>
      <c r="U16" s="74">
        <f t="shared" si="14"/>
        <v>108072</v>
      </c>
      <c r="V16" s="59">
        <f>SUM(D16:F16)</f>
        <v>326117</v>
      </c>
      <c r="W16" s="59">
        <f>SUM(G16:I16)</f>
        <v>324924</v>
      </c>
      <c r="X16" s="59">
        <f>SUM(J16:L16)</f>
        <v>324456</v>
      </c>
      <c r="Y16" s="59">
        <f>SUM(M16:O16)</f>
        <v>325074</v>
      </c>
      <c r="Z16" s="59">
        <f>SUM(P16:R16)</f>
        <v>325468</v>
      </c>
      <c r="AA16" s="59">
        <f>SUM(S16:U16)</f>
        <v>324581</v>
      </c>
      <c r="AB16" s="60">
        <f>SUM(D16:O16)</f>
        <v>1300571</v>
      </c>
      <c r="AC16" s="60">
        <f>SUM(D16:U16)</f>
        <v>1950620</v>
      </c>
    </row>
    <row r="17" spans="1:31">
      <c r="A17" s="49">
        <v>6</v>
      </c>
      <c r="B17" s="68" t="s">
        <v>81</v>
      </c>
      <c r="C17" s="75" t="s">
        <v>82</v>
      </c>
      <c r="D17" s="76">
        <v>86.901783935511162</v>
      </c>
      <c r="E17" s="76">
        <v>66.144603947981295</v>
      </c>
      <c r="F17" s="76">
        <v>70.619093453133914</v>
      </c>
      <c r="G17" s="77">
        <v>54.97482622577013</v>
      </c>
      <c r="H17" s="77">
        <v>45.149561893831354</v>
      </c>
      <c r="I17" s="149">
        <v>44.176281299352262</v>
      </c>
      <c r="J17" s="77">
        <v>54.178728059723568</v>
      </c>
      <c r="K17" s="77">
        <v>54.494967242017523</v>
      </c>
      <c r="L17" s="77">
        <v>40.613610060208515</v>
      </c>
      <c r="M17" s="77">
        <v>51.164830017208736</v>
      </c>
      <c r="N17" s="77">
        <v>69.548477445726022</v>
      </c>
      <c r="O17" s="77">
        <v>89.203236419535529</v>
      </c>
      <c r="P17" s="77">
        <v>86.901783935511162</v>
      </c>
      <c r="Q17" s="77">
        <v>66.144603947981295</v>
      </c>
      <c r="R17" s="77">
        <v>70.619093453133914</v>
      </c>
      <c r="S17" s="77">
        <v>54.97482622577013</v>
      </c>
      <c r="T17" s="77">
        <v>45.149561893831354</v>
      </c>
      <c r="U17" s="77">
        <v>44.176281299352262</v>
      </c>
      <c r="V17" s="55">
        <f t="shared" ref="V17:AC17" si="15">V18/V16</f>
        <v>74.568746650953869</v>
      </c>
      <c r="W17" s="55">
        <f t="shared" si="15"/>
        <v>48.103067145744554</v>
      </c>
      <c r="X17" s="55">
        <f t="shared" si="15"/>
        <v>49.757627980397878</v>
      </c>
      <c r="Y17" s="55">
        <f t="shared" si="15"/>
        <v>69.984533368769277</v>
      </c>
      <c r="Z17" s="55">
        <f t="shared" si="15"/>
        <v>74.559741566886743</v>
      </c>
      <c r="AA17" s="55">
        <f t="shared" si="15"/>
        <v>47.964517223238573</v>
      </c>
      <c r="AB17" s="55">
        <f t="shared" si="15"/>
        <v>60.621288714849335</v>
      </c>
      <c r="AC17" s="55">
        <f t="shared" si="15"/>
        <v>60.840897262556425</v>
      </c>
      <c r="AD17" s="55"/>
      <c r="AE17" s="112"/>
    </row>
    <row r="18" spans="1:31">
      <c r="A18" s="28">
        <v>7</v>
      </c>
      <c r="B18" s="13" t="s">
        <v>83</v>
      </c>
      <c r="C18" s="28" t="str">
        <f>"("&amp;A16&amp;") x ("&amp;A17&amp;")"</f>
        <v>(5) x (6)</v>
      </c>
      <c r="D18" s="78">
        <f t="shared" ref="D18:F18" si="16">D16*D17</f>
        <v>9466645.8330149092</v>
      </c>
      <c r="E18" s="78">
        <f t="shared" si="16"/>
        <v>7179996.7585533699</v>
      </c>
      <c r="F18" s="78">
        <f t="shared" si="16"/>
        <v>7671493.3600008432</v>
      </c>
      <c r="G18" s="78">
        <f t="shared" ref="G18:I18" si="17">G16*G17</f>
        <v>5959106.2383948052</v>
      </c>
      <c r="H18" s="78">
        <f t="shared" si="17"/>
        <v>4888343.066245121</v>
      </c>
      <c r="I18" s="94">
        <f t="shared" si="17"/>
        <v>4782391.6846239781</v>
      </c>
      <c r="J18" s="78">
        <f t="shared" ref="J18:O18" si="18">J16*J17</f>
        <v>5855636.9286949234</v>
      </c>
      <c r="K18" s="78">
        <f t="shared" si="18"/>
        <v>5891450.9085345147</v>
      </c>
      <c r="L18" s="78">
        <f t="shared" si="18"/>
        <v>4397073.1067785351</v>
      </c>
      <c r="M18" s="78">
        <f t="shared" si="18"/>
        <v>5545141.9476050483</v>
      </c>
      <c r="N18" s="78">
        <f t="shared" si="18"/>
        <v>7519233.6390446685</v>
      </c>
      <c r="O18" s="78">
        <f t="shared" si="18"/>
        <v>9685776.6136695873</v>
      </c>
      <c r="P18" s="78">
        <f t="shared" ref="P18:T18" si="19">P16*P17</f>
        <v>9443269.2531362567</v>
      </c>
      <c r="Q18" s="78">
        <f t="shared" si="19"/>
        <v>7196466.7649364173</v>
      </c>
      <c r="R18" s="78">
        <f t="shared" si="19"/>
        <v>7627073.9502188219</v>
      </c>
      <c r="S18" s="78">
        <f t="shared" si="19"/>
        <v>5957731.8677391605</v>
      </c>
      <c r="T18" s="78">
        <f t="shared" si="19"/>
        <v>4882338.1745132413</v>
      </c>
      <c r="U18" s="223">
        <f>U16*U17-45918.15</f>
        <v>4728300.9225835968</v>
      </c>
      <c r="V18" s="56">
        <f>SUM(D18:F18)</f>
        <v>24318135.951569125</v>
      </c>
      <c r="W18" s="56">
        <f>SUM(G18:I18)</f>
        <v>15629840.989263903</v>
      </c>
      <c r="X18" s="56">
        <f>SUM(J18:L18)</f>
        <v>16144160.944007974</v>
      </c>
      <c r="Y18" s="56">
        <f>SUM(M18:O18)</f>
        <v>22750152.200319305</v>
      </c>
      <c r="Z18" s="56">
        <f>SUM(P18:R18)</f>
        <v>24266809.968291495</v>
      </c>
      <c r="AA18" s="56">
        <f>SUM(S18:U18)</f>
        <v>15568370.964836</v>
      </c>
      <c r="AB18" s="61">
        <f>SUM(D18:O18)</f>
        <v>78842290.085160315</v>
      </c>
      <c r="AC18" s="61">
        <f>SUM(D18:U18)</f>
        <v>118677471.01828781</v>
      </c>
    </row>
    <row r="19" spans="1:31" ht="6.65" customHeight="1">
      <c r="A19" s="49"/>
      <c r="B19" s="13"/>
      <c r="C19" s="28"/>
      <c r="D19" s="79"/>
      <c r="E19" s="79"/>
      <c r="F19" s="79"/>
      <c r="G19" s="79"/>
      <c r="H19" s="79"/>
      <c r="I19" s="139"/>
      <c r="J19" s="79"/>
      <c r="K19" s="79"/>
      <c r="L19" s="79"/>
      <c r="M19" s="79"/>
      <c r="N19" s="79"/>
      <c r="O19" s="79"/>
      <c r="P19" s="79"/>
      <c r="Q19" s="79"/>
      <c r="R19" s="79"/>
      <c r="S19" s="79"/>
      <c r="T19" s="79"/>
      <c r="U19" s="79"/>
    </row>
    <row r="20" spans="1:31">
      <c r="A20" s="28">
        <v>8</v>
      </c>
      <c r="B20" s="13" t="s">
        <v>30</v>
      </c>
      <c r="C20" s="28" t="str">
        <f>"("&amp;A12&amp;") - ("&amp;A34&amp;")"</f>
        <v>(3) - (19)</v>
      </c>
      <c r="D20" s="78">
        <f t="shared" ref="D20:AB20" si="20">D12-D34</f>
        <v>12384892.648080001</v>
      </c>
      <c r="E20" s="78">
        <f t="shared" si="20"/>
        <v>10635224.296200002</v>
      </c>
      <c r="F20" s="78">
        <f t="shared" si="20"/>
        <v>10270622.945359999</v>
      </c>
      <c r="G20" s="78">
        <f t="shared" si="20"/>
        <v>9266556.2969599981</v>
      </c>
      <c r="H20" s="78">
        <f t="shared" si="20"/>
        <v>7544032.4322400009</v>
      </c>
      <c r="I20" s="94">
        <f t="shared" si="20"/>
        <v>7455844.570559999</v>
      </c>
      <c r="J20" s="78">
        <f t="shared" si="20"/>
        <v>8770822.2565599997</v>
      </c>
      <c r="K20" s="78">
        <f t="shared" si="20"/>
        <v>8988023.9165599998</v>
      </c>
      <c r="L20" s="78">
        <f t="shared" si="20"/>
        <v>6966091.1773599992</v>
      </c>
      <c r="M20" s="78">
        <f t="shared" si="20"/>
        <v>8248078.1480399994</v>
      </c>
      <c r="N20" s="78">
        <f t="shared" si="20"/>
        <v>11194264.51694</v>
      </c>
      <c r="O20" s="78">
        <f t="shared" si="20"/>
        <v>12922726.236319998</v>
      </c>
      <c r="P20" s="78">
        <f t="shared" ref="P20:U20" si="21">P12-P34</f>
        <v>12011935.128939999</v>
      </c>
      <c r="Q20" s="78">
        <f t="shared" si="21"/>
        <v>11341898.73502</v>
      </c>
      <c r="R20" s="78">
        <f t="shared" si="21"/>
        <v>10197643.176520001</v>
      </c>
      <c r="S20" s="78">
        <f t="shared" si="21"/>
        <v>8515191.8313800003</v>
      </c>
      <c r="T20" s="78">
        <f t="shared" si="21"/>
        <v>7816033.2721600002</v>
      </c>
      <c r="U20" s="78">
        <f t="shared" si="21"/>
        <v>9009446.7892199997</v>
      </c>
      <c r="V20" s="78">
        <f t="shared" si="20"/>
        <v>33290739.88964</v>
      </c>
      <c r="W20" s="78">
        <f t="shared" si="20"/>
        <v>24266433.299759995</v>
      </c>
      <c r="X20" s="78">
        <f t="shared" si="20"/>
        <v>24724937.350480001</v>
      </c>
      <c r="Y20" s="78">
        <f t="shared" si="20"/>
        <v>32365068.901299998</v>
      </c>
      <c r="Z20" s="78">
        <f>Z12-Z34</f>
        <v>33551477.040479999</v>
      </c>
      <c r="AA20" s="78">
        <f t="shared" ref="AA20" si="22">AA12-AA34</f>
        <v>25340671.892759997</v>
      </c>
      <c r="AB20" s="78">
        <f t="shared" si="20"/>
        <v>114647179.44117999</v>
      </c>
      <c r="AC20" s="78">
        <f>AC12-AC34</f>
        <v>173539328.37442002</v>
      </c>
    </row>
    <row r="21" spans="1:31">
      <c r="A21" s="49">
        <v>9</v>
      </c>
      <c r="B21" s="13" t="s">
        <v>20</v>
      </c>
      <c r="C21" s="28" t="str">
        <f>"("&amp;A13&amp;") - ("&amp;A35&amp;")"</f>
        <v>(4) - (20)</v>
      </c>
      <c r="D21" s="78">
        <f t="shared" ref="D21:AB21" si="23">D13-D35</f>
        <v>657187.79999999993</v>
      </c>
      <c r="E21" s="78">
        <f t="shared" si="23"/>
        <v>653894.40000000002</v>
      </c>
      <c r="F21" s="78">
        <f t="shared" si="23"/>
        <v>655651</v>
      </c>
      <c r="G21" s="78">
        <f t="shared" si="23"/>
        <v>653992.4</v>
      </c>
      <c r="H21" s="78">
        <f t="shared" si="23"/>
        <v>653547.80000000005</v>
      </c>
      <c r="I21" s="94">
        <f t="shared" si="23"/>
        <v>655119.4</v>
      </c>
      <c r="J21" s="78">
        <f t="shared" si="23"/>
        <v>653965.39999999991</v>
      </c>
      <c r="K21" s="78">
        <f t="shared" si="23"/>
        <v>654646.80000000005</v>
      </c>
      <c r="L21" s="78">
        <f t="shared" si="23"/>
        <v>654421.4</v>
      </c>
      <c r="M21" s="78">
        <f t="shared" si="23"/>
        <v>654290.6</v>
      </c>
      <c r="N21" s="78">
        <f t="shared" si="23"/>
        <v>650607.80000000005</v>
      </c>
      <c r="O21" s="78">
        <f t="shared" si="23"/>
        <v>655560.19999999995</v>
      </c>
      <c r="P21" s="78">
        <f t="shared" ref="P21:U21" si="24">P13-P35</f>
        <v>623261.6</v>
      </c>
      <c r="Q21" s="78">
        <f t="shared" si="24"/>
        <v>634998.19999999995</v>
      </c>
      <c r="R21" s="78">
        <f t="shared" si="24"/>
        <v>704805.6</v>
      </c>
      <c r="S21" s="78">
        <f t="shared" si="24"/>
        <v>654140.79999999993</v>
      </c>
      <c r="T21" s="78">
        <f t="shared" si="24"/>
        <v>652773.6</v>
      </c>
      <c r="U21" s="78">
        <f t="shared" si="24"/>
        <v>654981</v>
      </c>
      <c r="V21" s="78">
        <f t="shared" si="23"/>
        <v>1966733.2</v>
      </c>
      <c r="W21" s="78">
        <f t="shared" si="23"/>
        <v>1962659.6</v>
      </c>
      <c r="X21" s="78">
        <f t="shared" si="23"/>
        <v>1963033.5999999999</v>
      </c>
      <c r="Y21" s="78">
        <f t="shared" si="23"/>
        <v>1960458.5999999999</v>
      </c>
      <c r="Z21" s="78">
        <f>Z13-Z35</f>
        <v>1963065.4</v>
      </c>
      <c r="AA21" s="78">
        <f t="shared" ref="AA21" si="25">AA13-AA35</f>
        <v>1961895.4</v>
      </c>
      <c r="AB21" s="78">
        <f t="shared" si="23"/>
        <v>7852885</v>
      </c>
      <c r="AC21" s="78">
        <f>AC13-AC35</f>
        <v>11777845.799999999</v>
      </c>
    </row>
    <row r="22" spans="1:31">
      <c r="A22" s="28">
        <v>10</v>
      </c>
      <c r="B22" s="2" t="s">
        <v>84</v>
      </c>
      <c r="C22" s="28" t="str">
        <f>"("&amp;A11&amp;") - ("&amp;A36&amp;")"</f>
        <v>(2) - (21)</v>
      </c>
      <c r="D22" s="74">
        <f t="shared" ref="D22:AB22" si="26">D11-D36</f>
        <v>130113763.07397</v>
      </c>
      <c r="E22" s="74">
        <f t="shared" si="26"/>
        <v>110604249.74600001</v>
      </c>
      <c r="F22" s="74">
        <f t="shared" si="26"/>
        <v>107023185.595</v>
      </c>
      <c r="G22" s="74">
        <f t="shared" si="26"/>
        <v>96505662.214000002</v>
      </c>
      <c r="H22" s="74">
        <f t="shared" si="26"/>
        <v>78410961.427000001</v>
      </c>
      <c r="I22" s="138">
        <f t="shared" si="26"/>
        <v>77247654.807999998</v>
      </c>
      <c r="J22" s="74">
        <f t="shared" si="26"/>
        <v>91394799.797000006</v>
      </c>
      <c r="K22" s="74">
        <f t="shared" si="26"/>
        <v>92755103.532000005</v>
      </c>
      <c r="L22" s="74">
        <f t="shared" si="26"/>
        <v>71936762.567000002</v>
      </c>
      <c r="M22" s="74">
        <f t="shared" si="26"/>
        <v>86166309.739999995</v>
      </c>
      <c r="N22" s="74">
        <f t="shared" si="26"/>
        <v>116957415.43000001</v>
      </c>
      <c r="O22" s="74">
        <f t="shared" si="26"/>
        <v>134885664.463</v>
      </c>
      <c r="P22" s="74">
        <f t="shared" ref="P22:U22" si="27">P11-P36</f>
        <v>125742562.46700001</v>
      </c>
      <c r="Q22" s="74">
        <f t="shared" si="27"/>
        <v>118315841.54000001</v>
      </c>
      <c r="R22" s="74">
        <f t="shared" si="27"/>
        <v>105983376.65099999</v>
      </c>
      <c r="S22" s="74">
        <f t="shared" si="27"/>
        <v>88534734.964000002</v>
      </c>
      <c r="T22" s="74">
        <f t="shared" si="27"/>
        <v>81060385.996000007</v>
      </c>
      <c r="U22" s="74">
        <f t="shared" si="27"/>
        <v>94401345.693000004</v>
      </c>
      <c r="V22" s="74">
        <f t="shared" si="26"/>
        <v>347741198.41496998</v>
      </c>
      <c r="W22" s="74">
        <f t="shared" si="26"/>
        <v>252164278.449</v>
      </c>
      <c r="X22" s="74">
        <f t="shared" si="26"/>
        <v>256086665.896</v>
      </c>
      <c r="Y22" s="74">
        <f t="shared" si="26"/>
        <v>338009389.63300002</v>
      </c>
      <c r="Z22" s="74">
        <f>Z11-Z36</f>
        <v>350041780.65799999</v>
      </c>
      <c r="AA22" s="74">
        <f>AA11-AA36</f>
        <v>263996466.653</v>
      </c>
      <c r="AB22" s="74">
        <f t="shared" si="26"/>
        <v>1194001532.3929701</v>
      </c>
      <c r="AC22" s="74">
        <f>AC11-AC36</f>
        <v>1808039779.70397</v>
      </c>
    </row>
    <row r="23" spans="1:31">
      <c r="A23" s="49">
        <v>11</v>
      </c>
      <c r="B23" s="13" t="s">
        <v>85</v>
      </c>
      <c r="C23" s="28" t="s">
        <v>86</v>
      </c>
      <c r="D23" s="163">
        <v>2.2120000000000001E-2</v>
      </c>
      <c r="E23" s="163">
        <v>2.2120000000000001E-2</v>
      </c>
      <c r="F23" s="163">
        <v>2.2120000000000001E-2</v>
      </c>
      <c r="G23" s="163">
        <v>2.2120000000000001E-2</v>
      </c>
      <c r="H23" s="163">
        <v>2.2120000000000001E-2</v>
      </c>
      <c r="I23" s="165">
        <v>2.2120000000000001E-2</v>
      </c>
      <c r="J23" s="163">
        <v>2.2120000000000001E-2</v>
      </c>
      <c r="K23" s="163">
        <v>2.2120000000000001E-2</v>
      </c>
      <c r="L23" s="163">
        <v>2.2120000000000001E-2</v>
      </c>
      <c r="M23" s="163">
        <v>2.2120000000000001E-2</v>
      </c>
      <c r="N23" s="163">
        <v>2.2120000000000001E-2</v>
      </c>
      <c r="O23" s="163">
        <v>2.2120000000000001E-2</v>
      </c>
      <c r="P23" s="163">
        <v>2.2120000000000001E-2</v>
      </c>
      <c r="Q23" s="163">
        <v>2.2120000000000001E-2</v>
      </c>
      <c r="R23" s="163">
        <v>2.2120000000000001E-2</v>
      </c>
      <c r="S23" s="163">
        <v>2.2120000000000001E-2</v>
      </c>
      <c r="T23" s="163">
        <v>2.2120000000000001E-2</v>
      </c>
      <c r="U23" s="163">
        <v>2.2120000000000001E-2</v>
      </c>
      <c r="V23" s="80">
        <f>N23</f>
        <v>2.2120000000000001E-2</v>
      </c>
      <c r="W23" s="80">
        <f t="shared" ref="W23" si="28">V23</f>
        <v>2.2120000000000001E-2</v>
      </c>
      <c r="X23" s="80">
        <f>W23</f>
        <v>2.2120000000000001E-2</v>
      </c>
      <c r="Y23" s="80">
        <f>Y24/Y22</f>
        <v>2.2119999999999997E-2</v>
      </c>
      <c r="Z23" s="80">
        <f>Z24/Z22</f>
        <v>2.2120000000000004E-2</v>
      </c>
      <c r="AA23" s="80">
        <f>AA24/AA22</f>
        <v>2.2120000000000001E-2</v>
      </c>
      <c r="AB23" s="80">
        <f>AB24/AB22</f>
        <v>2.2120000000000001E-2</v>
      </c>
      <c r="AC23" s="80">
        <f>AC24/AC22</f>
        <v>2.2119999999999997E-2</v>
      </c>
      <c r="AD23" s="112"/>
    </row>
    <row r="24" spans="1:31">
      <c r="A24" s="28">
        <v>12</v>
      </c>
      <c r="B24" s="13" t="s">
        <v>87</v>
      </c>
      <c r="C24" s="28" t="str">
        <f>"("&amp;A22&amp;") x ("&amp;A23&amp;")"</f>
        <v>(10) x (11)</v>
      </c>
      <c r="D24" s="78">
        <f t="shared" ref="D24:F24" si="29">D22*D23</f>
        <v>2878116.4391962164</v>
      </c>
      <c r="E24" s="78">
        <f t="shared" si="29"/>
        <v>2446566.0043815202</v>
      </c>
      <c r="F24" s="78">
        <f t="shared" si="29"/>
        <v>2367352.8653613999</v>
      </c>
      <c r="G24" s="78">
        <f t="shared" ref="G24:I24" si="30">G22*G23</f>
        <v>2134705.2481736802</v>
      </c>
      <c r="H24" s="78">
        <f t="shared" si="30"/>
        <v>1734450.4667652401</v>
      </c>
      <c r="I24" s="94">
        <f t="shared" si="30"/>
        <v>1708718.1243529599</v>
      </c>
      <c r="J24" s="78">
        <f t="shared" ref="J24:O24" si="31">J22*J23</f>
        <v>2021652.9715096401</v>
      </c>
      <c r="K24" s="78">
        <f t="shared" si="31"/>
        <v>2051742.8901278402</v>
      </c>
      <c r="L24" s="78">
        <f t="shared" si="31"/>
        <v>1591241.18798204</v>
      </c>
      <c r="M24" s="78">
        <f t="shared" si="31"/>
        <v>1905998.7714487999</v>
      </c>
      <c r="N24" s="78">
        <f t="shared" si="31"/>
        <v>2587098.0293116001</v>
      </c>
      <c r="O24" s="78">
        <f t="shared" si="31"/>
        <v>2983670.8979215599</v>
      </c>
      <c r="P24" s="78">
        <f t="shared" ref="P24:U24" si="32">P22*P23</f>
        <v>2781425.4817700405</v>
      </c>
      <c r="Q24" s="78">
        <f t="shared" si="32"/>
        <v>2617146.4148648004</v>
      </c>
      <c r="R24" s="78">
        <f t="shared" si="32"/>
        <v>2344352.2915201201</v>
      </c>
      <c r="S24" s="78">
        <f t="shared" si="32"/>
        <v>1958388.3374036802</v>
      </c>
      <c r="T24" s="78">
        <f t="shared" si="32"/>
        <v>1793055.7382315202</v>
      </c>
      <c r="U24" s="78">
        <f t="shared" si="32"/>
        <v>2088157.7667291602</v>
      </c>
      <c r="V24" s="78">
        <f>V22*V23</f>
        <v>7692035.3089391366</v>
      </c>
      <c r="W24" s="78">
        <f>W22*W23</f>
        <v>5577873.8392918799</v>
      </c>
      <c r="X24" s="78">
        <f t="shared" ref="X24" si="33">X22*X23</f>
        <v>5664637.0496195201</v>
      </c>
      <c r="Y24" s="78">
        <f>SUM(M24:O24)</f>
        <v>7476767.6986819599</v>
      </c>
      <c r="Z24" s="78">
        <f>SUM(P24:R24)</f>
        <v>7742924.1881549619</v>
      </c>
      <c r="AA24" s="78">
        <f>SUM(S24:U24)</f>
        <v>5839601.8423643606</v>
      </c>
      <c r="AB24" s="61">
        <f>SUM(D24:O24)</f>
        <v>26411313.896532498</v>
      </c>
      <c r="AC24" s="61">
        <f>SUM(D24:U24)</f>
        <v>39993839.927051812</v>
      </c>
    </row>
    <row r="25" spans="1:31">
      <c r="A25" s="49">
        <v>13</v>
      </c>
      <c r="B25" s="13" t="s">
        <v>88</v>
      </c>
      <c r="C25" s="28" t="str">
        <f>"("&amp;A20&amp;") - ("&amp;A21&amp;") -("&amp;A24&amp;")"</f>
        <v>(8) - (9) -(12)</v>
      </c>
      <c r="D25" s="78">
        <f t="shared" ref="D25:F25" si="34">D20-D21-D24</f>
        <v>8849588.408883784</v>
      </c>
      <c r="E25" s="78">
        <f t="shared" si="34"/>
        <v>7534763.8918184806</v>
      </c>
      <c r="F25" s="78">
        <f t="shared" si="34"/>
        <v>7247619.0799985994</v>
      </c>
      <c r="G25" s="78">
        <f t="shared" ref="G25:I25" si="35">G20-G21-G24</f>
        <v>6477858.6487863176</v>
      </c>
      <c r="H25" s="78">
        <f t="shared" si="35"/>
        <v>5156034.1654747613</v>
      </c>
      <c r="I25" s="94">
        <f t="shared" si="35"/>
        <v>5092007.0462070387</v>
      </c>
      <c r="J25" s="78">
        <f t="shared" ref="J25:O25" si="36">J20-J21-J24</f>
        <v>6095203.8850503592</v>
      </c>
      <c r="K25" s="78">
        <f t="shared" si="36"/>
        <v>6281634.2264321595</v>
      </c>
      <c r="L25" s="78">
        <f t="shared" si="36"/>
        <v>4720428.5893779583</v>
      </c>
      <c r="M25" s="78">
        <f t="shared" si="36"/>
        <v>5687788.7765912004</v>
      </c>
      <c r="N25" s="78">
        <f t="shared" si="36"/>
        <v>7956558.6876283986</v>
      </c>
      <c r="O25" s="78">
        <f t="shared" si="36"/>
        <v>9283495.1383984387</v>
      </c>
      <c r="P25" s="78">
        <f t="shared" ref="P25:U25" si="37">P20-P21-P24</f>
        <v>8607248.0471699592</v>
      </c>
      <c r="Q25" s="78">
        <f t="shared" si="37"/>
        <v>8089754.1201552004</v>
      </c>
      <c r="R25" s="78">
        <f t="shared" si="37"/>
        <v>7148485.2849998809</v>
      </c>
      <c r="S25" s="78">
        <f t="shared" si="37"/>
        <v>5902662.6939763203</v>
      </c>
      <c r="T25" s="78">
        <f t="shared" si="37"/>
        <v>5370203.9339284804</v>
      </c>
      <c r="U25" s="78">
        <f t="shared" si="37"/>
        <v>6266308.0224908395</v>
      </c>
      <c r="V25" s="56">
        <f>SUM(D25:F25)</f>
        <v>23631971.380700864</v>
      </c>
      <c r="W25" s="56">
        <f>SUM(G25:I25)</f>
        <v>16725899.860468118</v>
      </c>
      <c r="X25" s="56">
        <f>SUM(J25:L25)</f>
        <v>17097266.700860478</v>
      </c>
      <c r="Y25" s="56">
        <f>SUM(M25:O25)</f>
        <v>22927842.602618039</v>
      </c>
      <c r="Z25" s="56">
        <f>SUM(P25:R25)</f>
        <v>23845487.452325039</v>
      </c>
      <c r="AA25" s="56">
        <f>SUM(S25:U25)</f>
        <v>17539174.650395639</v>
      </c>
      <c r="AB25" s="61">
        <f>SUM(D25:O25)</f>
        <v>80382980.5446475</v>
      </c>
      <c r="AC25" s="61">
        <f>SUM(D25:U25)</f>
        <v>121767642.64736816</v>
      </c>
    </row>
    <row r="26" spans="1:31">
      <c r="A26" s="28">
        <v>14</v>
      </c>
      <c r="B26" s="3" t="s">
        <v>21</v>
      </c>
      <c r="C26" s="28"/>
      <c r="D26" s="81">
        <f t="shared" ref="D26:F26" si="38">D25/D16</f>
        <v>81.237328763792945</v>
      </c>
      <c r="E26" s="81">
        <f t="shared" si="38"/>
        <v>69.412841011685686</v>
      </c>
      <c r="F26" s="81">
        <f t="shared" si="38"/>
        <v>66.71716510787428</v>
      </c>
      <c r="G26" s="81">
        <f t="shared" ref="G26:I26" si="39">G25/G16</f>
        <v>59.760497511797539</v>
      </c>
      <c r="H26" s="81">
        <f t="shared" si="39"/>
        <v>47.622002082522961</v>
      </c>
      <c r="I26" s="141">
        <f t="shared" si="39"/>
        <v>47.036284454649945</v>
      </c>
      <c r="J26" s="81">
        <f t="shared" ref="J26:O26" si="40">J25/J16</f>
        <v>56.395298714381561</v>
      </c>
      <c r="K26" s="81">
        <f t="shared" si="40"/>
        <v>58.104099772751454</v>
      </c>
      <c r="L26" s="81">
        <f t="shared" si="40"/>
        <v>43.600286233701794</v>
      </c>
      <c r="M26" s="81">
        <f t="shared" si="40"/>
        <v>52.481027298817104</v>
      </c>
      <c r="N26" s="81">
        <f t="shared" si="40"/>
        <v>73.593476276450062</v>
      </c>
      <c r="O26" s="81">
        <f t="shared" si="40"/>
        <v>85.498338921159672</v>
      </c>
      <c r="P26" s="81">
        <f t="shared" ref="P26:U26" si="41">P25/P16</f>
        <v>79.208290055490764</v>
      </c>
      <c r="Q26" s="81">
        <f t="shared" si="41"/>
        <v>74.355041132319229</v>
      </c>
      <c r="R26" s="81">
        <f t="shared" si="41"/>
        <v>66.187840013702214</v>
      </c>
      <c r="S26" s="81">
        <f t="shared" si="41"/>
        <v>54.466676761306616</v>
      </c>
      <c r="T26" s="81">
        <f t="shared" si="41"/>
        <v>49.661114456000078</v>
      </c>
      <c r="U26" s="81">
        <f t="shared" si="41"/>
        <v>57.982715434995555</v>
      </c>
      <c r="V26" s="63">
        <f t="shared" ref="V26:AC26" si="42">V25/V16</f>
        <v>72.464702486226912</v>
      </c>
      <c r="W26" s="63">
        <f t="shared" si="42"/>
        <v>51.476344808226287</v>
      </c>
      <c r="X26" s="63">
        <f t="shared" si="42"/>
        <v>52.695178085350491</v>
      </c>
      <c r="Y26" s="63">
        <f t="shared" si="42"/>
        <v>70.53114860806474</v>
      </c>
      <c r="Z26" s="63">
        <f t="shared" si="42"/>
        <v>73.265228693220337</v>
      </c>
      <c r="AA26" s="63">
        <f t="shared" si="42"/>
        <v>54.036356565527988</v>
      </c>
      <c r="AB26" s="63">
        <f t="shared" si="42"/>
        <v>61.80591489787755</v>
      </c>
      <c r="AC26" s="63">
        <f t="shared" si="42"/>
        <v>62.425096967819549</v>
      </c>
      <c r="AD26" s="112"/>
      <c r="AE26" s="112"/>
    </row>
    <row r="27" spans="1:31">
      <c r="A27" s="49">
        <v>15</v>
      </c>
      <c r="B27" s="13" t="s">
        <v>89</v>
      </c>
      <c r="C27" s="28" t="str">
        <f>"("&amp;A$18&amp;") - ("&amp;A25&amp;")"</f>
        <v>(7) - (13)</v>
      </c>
      <c r="D27" s="78">
        <f t="shared" ref="D27:F27" si="43">D18-D25</f>
        <v>617057.42413112521</v>
      </c>
      <c r="E27" s="78">
        <f t="shared" si="43"/>
        <v>-354767.13326511066</v>
      </c>
      <c r="F27" s="78">
        <f t="shared" si="43"/>
        <v>423874.28000224382</v>
      </c>
      <c r="G27" s="78">
        <f t="shared" ref="G27:I27" si="44">G18-G25</f>
        <v>-518752.41039151233</v>
      </c>
      <c r="H27" s="78">
        <f t="shared" si="44"/>
        <v>-267691.09922964033</v>
      </c>
      <c r="I27" s="94">
        <f t="shared" si="44"/>
        <v>-309615.36158306058</v>
      </c>
      <c r="J27" s="78">
        <f t="shared" ref="J27:O27" si="45">J18-J25</f>
        <v>-239566.95635543577</v>
      </c>
      <c r="K27" s="78">
        <f t="shared" si="45"/>
        <v>-390183.31789764483</v>
      </c>
      <c r="L27" s="78">
        <f t="shared" si="45"/>
        <v>-323355.48259942327</v>
      </c>
      <c r="M27" s="78">
        <f t="shared" si="45"/>
        <v>-142646.82898615208</v>
      </c>
      <c r="N27" s="78">
        <f t="shared" si="45"/>
        <v>-437325.04858373012</v>
      </c>
      <c r="O27" s="78">
        <f t="shared" si="45"/>
        <v>402281.47527114861</v>
      </c>
      <c r="P27" s="78">
        <f t="shared" ref="P27:U27" si="46">P18-P25</f>
        <v>836021.20596629754</v>
      </c>
      <c r="Q27" s="78">
        <f t="shared" si="46"/>
        <v>-893287.35521878302</v>
      </c>
      <c r="R27" s="78">
        <f t="shared" si="46"/>
        <v>478588.66521894094</v>
      </c>
      <c r="S27" s="78">
        <f t="shared" si="46"/>
        <v>55069.173762840219</v>
      </c>
      <c r="T27" s="78">
        <f t="shared" si="46"/>
        <v>-487865.7594152391</v>
      </c>
      <c r="U27" s="78">
        <f t="shared" si="46"/>
        <v>-1538007.0999072427</v>
      </c>
      <c r="V27" s="56">
        <f>SUM(D27:F27)</f>
        <v>686164.57086825836</v>
      </c>
      <c r="W27" s="56">
        <f>SUM(G27:I27)</f>
        <v>-1096058.8712042132</v>
      </c>
      <c r="X27" s="56">
        <f>SUM(J27:L27)</f>
        <v>-953105.75685250387</v>
      </c>
      <c r="Y27" s="56">
        <f>SUM(M27:O27)</f>
        <v>-177690.40229873359</v>
      </c>
      <c r="Z27" s="56">
        <f>SUM(P27:R27)</f>
        <v>421322.51596645545</v>
      </c>
      <c r="AA27" s="56">
        <f>SUM(S27:U27)</f>
        <v>-1970803.6855596416</v>
      </c>
      <c r="AB27" s="61">
        <f>SUM(D27:O27)</f>
        <v>-1540690.4594871923</v>
      </c>
      <c r="AC27" s="61">
        <f>SUM(D27:U27)</f>
        <v>-3090171.6290803785</v>
      </c>
    </row>
    <row r="28" spans="1:31" ht="7.15" customHeight="1">
      <c r="A28" s="28"/>
      <c r="B28" s="13"/>
      <c r="C28" s="28"/>
      <c r="D28" s="78"/>
      <c r="E28" s="78"/>
      <c r="F28" s="78"/>
      <c r="G28" s="78"/>
      <c r="H28" s="78"/>
      <c r="I28" s="94"/>
      <c r="J28" s="78"/>
      <c r="K28" s="78"/>
      <c r="L28" s="78"/>
      <c r="M28" s="78"/>
      <c r="N28" s="78"/>
      <c r="O28" s="78"/>
      <c r="P28" s="78"/>
      <c r="Q28" s="78"/>
      <c r="R28" s="78"/>
      <c r="S28" s="78"/>
      <c r="T28" s="78"/>
      <c r="U28" s="78"/>
      <c r="V28" s="56"/>
      <c r="W28" s="56"/>
      <c r="X28" s="56"/>
      <c r="Y28" s="56"/>
      <c r="Z28" s="56"/>
      <c r="AA28" s="56"/>
      <c r="AB28" s="61"/>
      <c r="AC28" s="61"/>
    </row>
    <row r="29" spans="1:31">
      <c r="A29" s="28"/>
      <c r="B29" s="71" t="s">
        <v>90</v>
      </c>
      <c r="C29" s="28"/>
      <c r="D29" s="78"/>
      <c r="E29" s="78"/>
      <c r="F29" s="78"/>
      <c r="G29" s="78"/>
      <c r="H29" s="78"/>
      <c r="I29" s="94"/>
      <c r="J29" s="78"/>
      <c r="K29" s="78"/>
      <c r="L29" s="78"/>
      <c r="M29" s="78"/>
      <c r="N29" s="78"/>
      <c r="O29" s="78"/>
      <c r="P29" s="78"/>
      <c r="Q29" s="78"/>
      <c r="R29" s="78"/>
      <c r="S29" s="78"/>
      <c r="T29" s="78"/>
      <c r="U29" s="78"/>
    </row>
    <row r="30" spans="1:31">
      <c r="A30" s="49">
        <v>16</v>
      </c>
      <c r="B30" s="13" t="s">
        <v>91</v>
      </c>
      <c r="C30" s="28" t="s">
        <v>75</v>
      </c>
      <c r="D30" s="72">
        <v>2198</v>
      </c>
      <c r="E30" s="72">
        <v>2542</v>
      </c>
      <c r="F30" s="72">
        <v>2615</v>
      </c>
      <c r="G30" s="72">
        <v>2814</v>
      </c>
      <c r="H30" s="72">
        <v>3028</v>
      </c>
      <c r="I30" s="119">
        <v>3191</v>
      </c>
      <c r="J30" s="72">
        <v>3449</v>
      </c>
      <c r="K30" s="72">
        <v>3709</v>
      </c>
      <c r="L30" s="72">
        <v>3914</v>
      </c>
      <c r="M30" s="72">
        <v>4075</v>
      </c>
      <c r="N30" s="72">
        <v>4392</v>
      </c>
      <c r="O30" s="72">
        <v>4563</v>
      </c>
      <c r="P30" s="72">
        <v>4737</v>
      </c>
      <c r="Q30" s="72">
        <v>4604</v>
      </c>
      <c r="R30" s="72">
        <v>5400</v>
      </c>
      <c r="S30" s="72">
        <v>5406</v>
      </c>
      <c r="T30" s="72">
        <v>5584</v>
      </c>
      <c r="U30" s="72">
        <v>5945</v>
      </c>
      <c r="V30" s="59">
        <f>SUM(D30:F30)</f>
        <v>7355</v>
      </c>
      <c r="W30" s="59">
        <f>SUM(G30:I30)</f>
        <v>9033</v>
      </c>
      <c r="X30" s="59">
        <f>SUM(J30:L30)</f>
        <v>11072</v>
      </c>
      <c r="Y30" s="59">
        <f>SUM(M30:O30)</f>
        <v>13030</v>
      </c>
      <c r="Z30" s="59">
        <f>SUM(P30:R30)</f>
        <v>14741</v>
      </c>
      <c r="AA30" s="59">
        <f>SUM(S30:U30)</f>
        <v>16935</v>
      </c>
      <c r="AB30" s="60">
        <f>SUM(D30:O30)</f>
        <v>40490</v>
      </c>
      <c r="AC30" s="60">
        <f>SUM(D30:U30)</f>
        <v>72166</v>
      </c>
    </row>
    <row r="31" spans="1:31">
      <c r="A31" s="28">
        <v>17</v>
      </c>
      <c r="B31" s="68" t="s">
        <v>81</v>
      </c>
      <c r="C31" s="75" t="s">
        <v>82</v>
      </c>
      <c r="D31" s="76">
        <v>54.479580074372542</v>
      </c>
      <c r="E31" s="76">
        <v>41.466700498874033</v>
      </c>
      <c r="F31" s="76">
        <v>44.271801824167881</v>
      </c>
      <c r="G31" s="76">
        <v>34.464257369723491</v>
      </c>
      <c r="H31" s="76">
        <v>28.304702862523069</v>
      </c>
      <c r="I31" s="142">
        <v>27.694543718711877</v>
      </c>
      <c r="J31" s="76">
        <v>33.965175626863299</v>
      </c>
      <c r="K31" s="76">
        <v>34.163429069706574</v>
      </c>
      <c r="L31" s="76">
        <v>25.461070201118385</v>
      </c>
      <c r="M31" s="76">
        <v>32.075733404767725</v>
      </c>
      <c r="N31" s="76">
        <v>43.600622156006331</v>
      </c>
      <c r="O31" s="76">
        <v>55.922383193164826</v>
      </c>
      <c r="P31" s="76">
        <v>54.479580074372542</v>
      </c>
      <c r="Q31" s="76">
        <v>41.466700498874033</v>
      </c>
      <c r="R31" s="76">
        <v>44.271801824167881</v>
      </c>
      <c r="S31" s="76">
        <v>34.464257369723491</v>
      </c>
      <c r="T31" s="76">
        <v>28.304702862523069</v>
      </c>
      <c r="U31" s="76">
        <v>27.694543718711877</v>
      </c>
      <c r="V31" s="55">
        <f>V32/V30</f>
        <v>46.352852677336188</v>
      </c>
      <c r="W31" s="55">
        <f>W32/W30</f>
        <v>30.008009466681209</v>
      </c>
      <c r="X31" s="55">
        <f>X32/X30</f>
        <v>31.025350246005289</v>
      </c>
      <c r="Y31" s="55">
        <f>Y32/Y30</f>
        <v>44.311310870607777</v>
      </c>
      <c r="Z31" s="55">
        <f t="shared" ref="Z31" si="47">Z32/Z30</f>
        <v>46.675950733303395</v>
      </c>
      <c r="AA31" s="55">
        <f>AA32/AA30</f>
        <v>31.391263568514677</v>
      </c>
      <c r="AB31" s="55">
        <f>AB32/AB30</f>
        <v>37.858153606375126</v>
      </c>
      <c r="AC31" s="55">
        <f>AC32/AC30</f>
        <v>38.141754812717217</v>
      </c>
    </row>
    <row r="32" spans="1:31">
      <c r="A32" s="49">
        <v>18</v>
      </c>
      <c r="B32" s="13" t="s">
        <v>83</v>
      </c>
      <c r="C32" s="28" t="str">
        <f>"("&amp;A30&amp;") x ("&amp;A31&amp;")"</f>
        <v>(16) x (17)</v>
      </c>
      <c r="D32" s="78">
        <f t="shared" ref="D32:F32" si="48">D30*D31</f>
        <v>119746.11700347085</v>
      </c>
      <c r="E32" s="78">
        <f t="shared" si="48"/>
        <v>105408.3526681378</v>
      </c>
      <c r="F32" s="78">
        <f t="shared" si="48"/>
        <v>115770.76177019901</v>
      </c>
      <c r="G32" s="78">
        <f t="shared" ref="G32:I32" si="49">G30*G31</f>
        <v>96982.420238401901</v>
      </c>
      <c r="H32" s="78">
        <f t="shared" si="49"/>
        <v>85706.640267719849</v>
      </c>
      <c r="I32" s="94">
        <f t="shared" si="49"/>
        <v>88373.289006409599</v>
      </c>
      <c r="J32" s="78">
        <f t="shared" ref="J32:O32" si="50">J30*J31</f>
        <v>117145.89073705152</v>
      </c>
      <c r="K32" s="78">
        <f t="shared" si="50"/>
        <v>126712.15841954168</v>
      </c>
      <c r="L32" s="78">
        <f t="shared" si="50"/>
        <v>99654.628767177361</v>
      </c>
      <c r="M32" s="78">
        <f t="shared" si="50"/>
        <v>130708.61362442847</v>
      </c>
      <c r="N32" s="78">
        <f t="shared" si="50"/>
        <v>191493.93250917981</v>
      </c>
      <c r="O32" s="78">
        <f t="shared" si="50"/>
        <v>255173.83451041111</v>
      </c>
      <c r="P32" s="78">
        <f t="shared" ref="P32:T32" si="51">P30*P31</f>
        <v>258069.77081230274</v>
      </c>
      <c r="Q32" s="78">
        <f t="shared" si="51"/>
        <v>190912.68909681606</v>
      </c>
      <c r="R32" s="78">
        <f t="shared" si="51"/>
        <v>239067.72985050656</v>
      </c>
      <c r="S32" s="78">
        <f t="shared" si="51"/>
        <v>186313.7753407252</v>
      </c>
      <c r="T32" s="78">
        <f t="shared" si="51"/>
        <v>158053.46078432881</v>
      </c>
      <c r="U32" s="223">
        <f>U30*U31+22599.75</f>
        <v>187243.81240774211</v>
      </c>
      <c r="V32" s="56">
        <f>SUM(D32:F32)</f>
        <v>340925.23144180764</v>
      </c>
      <c r="W32" s="56">
        <f>SUM(G32:I32)</f>
        <v>271062.34951253136</v>
      </c>
      <c r="X32" s="56">
        <f>SUM(J32:L32)</f>
        <v>343512.67792377056</v>
      </c>
      <c r="Y32" s="56">
        <f>SUM(M32:O32)</f>
        <v>577376.38064401934</v>
      </c>
      <c r="Z32" s="56">
        <f>SUM(P32:R32)</f>
        <v>688050.18975962535</v>
      </c>
      <c r="AA32" s="56">
        <f>SUM(S32:U32)</f>
        <v>531611.04853279609</v>
      </c>
      <c r="AB32" s="61">
        <f>SUM(D32:O32)</f>
        <v>1532876.6395221287</v>
      </c>
      <c r="AC32" s="61">
        <f>SUM(D32:U32)</f>
        <v>2752537.8778145504</v>
      </c>
    </row>
    <row r="33" spans="1:36" ht="7.15" customHeight="1">
      <c r="A33" s="28"/>
      <c r="B33" s="13"/>
      <c r="C33" s="28"/>
      <c r="D33" s="79"/>
      <c r="E33" s="79"/>
      <c r="F33" s="79"/>
      <c r="G33" s="79"/>
      <c r="H33" s="79"/>
      <c r="I33" s="139"/>
      <c r="J33" s="79"/>
      <c r="K33" s="79"/>
      <c r="L33" s="79"/>
      <c r="M33" s="79"/>
      <c r="N33" s="79"/>
      <c r="O33" s="79"/>
      <c r="P33" s="79"/>
      <c r="Q33" s="79"/>
      <c r="R33" s="79"/>
      <c r="S33" s="79"/>
      <c r="T33" s="79"/>
      <c r="U33" s="79"/>
      <c r="V33" s="56"/>
      <c r="W33" s="56"/>
      <c r="X33" s="56"/>
      <c r="Y33" s="56"/>
      <c r="Z33" s="56"/>
      <c r="AA33" s="56"/>
      <c r="AB33" s="61"/>
      <c r="AC33" s="61"/>
    </row>
    <row r="34" spans="1:36">
      <c r="A34" s="49">
        <v>19</v>
      </c>
      <c r="B34" s="13" t="s">
        <v>30</v>
      </c>
      <c r="C34" s="28" t="s">
        <v>75</v>
      </c>
      <c r="D34" s="73">
        <v>181484.44</v>
      </c>
      <c r="E34" s="73">
        <v>200060.19</v>
      </c>
      <c r="F34" s="73">
        <v>186005.14</v>
      </c>
      <c r="G34" s="73">
        <v>182224.97</v>
      </c>
      <c r="H34" s="73">
        <v>138340.85</v>
      </c>
      <c r="I34" s="120">
        <v>134634.19</v>
      </c>
      <c r="J34" s="73">
        <v>152370.31</v>
      </c>
      <c r="K34" s="73">
        <v>195177.60000000001</v>
      </c>
      <c r="L34" s="73">
        <v>177490.4</v>
      </c>
      <c r="M34" s="73">
        <v>174152.47</v>
      </c>
      <c r="N34" s="73">
        <v>270738.65999999997</v>
      </c>
      <c r="O34" s="73">
        <v>382094.41</v>
      </c>
      <c r="P34" s="73">
        <v>429074.97</v>
      </c>
      <c r="Q34" s="73">
        <v>393632.41</v>
      </c>
      <c r="R34" s="73">
        <v>423675.85</v>
      </c>
      <c r="S34" s="73">
        <v>340027.28</v>
      </c>
      <c r="T34" s="73">
        <v>267520.95</v>
      </c>
      <c r="U34" s="73">
        <v>284388.32</v>
      </c>
      <c r="V34" s="56">
        <f>SUM(D34:F34)</f>
        <v>567549.77</v>
      </c>
      <c r="W34" s="56">
        <f t="shared" ref="W34:W36" si="52">SUM(G34:I34)</f>
        <v>455200.01</v>
      </c>
      <c r="X34" s="56">
        <f t="shared" ref="X34:X36" si="53">SUM(J34:L34)</f>
        <v>525038.31000000006</v>
      </c>
      <c r="Y34" s="56">
        <f>SUM(M34:O34)</f>
        <v>826985.54</v>
      </c>
      <c r="Z34" s="56">
        <f>SUM(P34:R34)</f>
        <v>1246383.23</v>
      </c>
      <c r="AA34" s="56">
        <f>SUM(S34:U34)</f>
        <v>891936.55</v>
      </c>
      <c r="AB34" s="61">
        <f>SUM(D34:O34)</f>
        <v>2374773.63</v>
      </c>
      <c r="AC34" s="61">
        <f>SUM(D34:U34)</f>
        <v>4513093.41</v>
      </c>
    </row>
    <row r="35" spans="1:36">
      <c r="A35" s="28">
        <v>20</v>
      </c>
      <c r="B35" s="13" t="s">
        <v>20</v>
      </c>
      <c r="C35" s="28" t="s">
        <v>75</v>
      </c>
      <c r="D35" s="73">
        <v>12761.4</v>
      </c>
      <c r="E35" s="73">
        <v>14535.6</v>
      </c>
      <c r="F35" s="73">
        <v>14672</v>
      </c>
      <c r="G35" s="73">
        <v>16042</v>
      </c>
      <c r="H35" s="73">
        <v>16946.599999999999</v>
      </c>
      <c r="I35" s="120">
        <v>18005.400000000001</v>
      </c>
      <c r="J35" s="73">
        <v>19374.8</v>
      </c>
      <c r="K35" s="73">
        <v>20687</v>
      </c>
      <c r="L35" s="73">
        <v>21939</v>
      </c>
      <c r="M35" s="73">
        <v>22777</v>
      </c>
      <c r="N35" s="73">
        <v>24585</v>
      </c>
      <c r="O35" s="73">
        <v>26203.8</v>
      </c>
      <c r="P35" s="73">
        <v>27439.4</v>
      </c>
      <c r="Q35" s="73">
        <v>26619.4</v>
      </c>
      <c r="R35" s="73">
        <v>31203.8</v>
      </c>
      <c r="S35" s="73">
        <v>30761.8</v>
      </c>
      <c r="T35" s="73">
        <v>32027.4</v>
      </c>
      <c r="U35" s="73">
        <v>33678.400000000001</v>
      </c>
      <c r="V35" s="56">
        <f t="shared" ref="V35" si="54">SUM(D35:F35)</f>
        <v>41969</v>
      </c>
      <c r="W35" s="56">
        <f t="shared" si="52"/>
        <v>50994</v>
      </c>
      <c r="X35" s="56">
        <f t="shared" si="53"/>
        <v>62000.800000000003</v>
      </c>
      <c r="Y35" s="56">
        <f t="shared" ref="Y35:Y36" si="55">SUM(M35:O35)</f>
        <v>73565.8</v>
      </c>
      <c r="Z35" s="56">
        <f>SUM(P35:R35)</f>
        <v>85262.6</v>
      </c>
      <c r="AA35" s="56">
        <f t="shared" ref="AA35" si="56">SUM(S35:U35)</f>
        <v>96467.6</v>
      </c>
      <c r="AB35" s="61">
        <f>SUM(D35:O35)</f>
        <v>228529.59999999998</v>
      </c>
      <c r="AC35" s="61">
        <f t="shared" ref="AC35" si="57">SUM(D35:U35)</f>
        <v>410259.8</v>
      </c>
    </row>
    <row r="36" spans="1:36">
      <c r="A36" s="49">
        <v>21</v>
      </c>
      <c r="B36" s="2" t="s">
        <v>84</v>
      </c>
      <c r="C36" s="28" t="s">
        <v>75</v>
      </c>
      <c r="D36" s="72">
        <v>1863569.4990000001</v>
      </c>
      <c r="E36" s="72">
        <v>2056746.5360000001</v>
      </c>
      <c r="F36" s="72">
        <v>1904477.922</v>
      </c>
      <c r="G36" s="72">
        <v>1861575.888</v>
      </c>
      <c r="H36" s="72">
        <v>1381412.115</v>
      </c>
      <c r="I36" s="119">
        <v>1335023.3700000001</v>
      </c>
      <c r="J36" s="72">
        <v>1518110.0430000001</v>
      </c>
      <c r="K36" s="72">
        <v>1980459.21</v>
      </c>
      <c r="L36" s="72">
        <v>1790472.7760000001</v>
      </c>
      <c r="M36" s="72">
        <v>1737393.9879999999</v>
      </c>
      <c r="N36" s="72">
        <v>2773960.182</v>
      </c>
      <c r="O36" s="72">
        <v>3953985.173</v>
      </c>
      <c r="P36" s="72">
        <v>4449111.7450000001</v>
      </c>
      <c r="Q36" s="72">
        <v>4072746.182</v>
      </c>
      <c r="R36" s="72">
        <v>4375840.5829999996</v>
      </c>
      <c r="S36" s="72">
        <v>3482134.284</v>
      </c>
      <c r="T36" s="72">
        <v>2689995.034</v>
      </c>
      <c r="U36" s="72">
        <v>2865604.89</v>
      </c>
      <c r="V36" s="124">
        <f>SUM(D36:F36)</f>
        <v>5824793.9570000004</v>
      </c>
      <c r="W36" s="124">
        <f t="shared" si="52"/>
        <v>4578011.3729999997</v>
      </c>
      <c r="X36" s="124">
        <f t="shared" si="53"/>
        <v>5289042.0290000001</v>
      </c>
      <c r="Y36" s="124">
        <f t="shared" si="55"/>
        <v>8465339.3430000003</v>
      </c>
      <c r="Z36" s="124">
        <f>SUM(P36:R36)</f>
        <v>12897698.510000002</v>
      </c>
      <c r="AA36" s="56">
        <f>SUM(S36:U36)</f>
        <v>9037734.2080000006</v>
      </c>
      <c r="AB36" s="125">
        <f>SUM(D36:O36)</f>
        <v>24157186.702000003</v>
      </c>
      <c r="AC36" s="61">
        <f>SUM(D36:U36)</f>
        <v>46092619.420000009</v>
      </c>
    </row>
    <row r="37" spans="1:36">
      <c r="A37" s="28">
        <v>22</v>
      </c>
      <c r="B37" s="13" t="s">
        <v>85</v>
      </c>
      <c r="C37" s="28" t="s">
        <v>86</v>
      </c>
      <c r="D37" s="163">
        <v>2.2120000000000001E-2</v>
      </c>
      <c r="E37" s="163">
        <v>2.2120000000000001E-2</v>
      </c>
      <c r="F37" s="163">
        <v>2.2120000000000001E-2</v>
      </c>
      <c r="G37" s="163">
        <v>2.2120000000000001E-2</v>
      </c>
      <c r="H37" s="163">
        <v>2.2120000000000001E-2</v>
      </c>
      <c r="I37" s="165">
        <v>2.2120000000000001E-2</v>
      </c>
      <c r="J37" s="163">
        <v>2.2120000000000001E-2</v>
      </c>
      <c r="K37" s="163">
        <v>2.2120000000000001E-2</v>
      </c>
      <c r="L37" s="163">
        <v>2.2120000000000001E-2</v>
      </c>
      <c r="M37" s="163">
        <v>2.2120000000000001E-2</v>
      </c>
      <c r="N37" s="163">
        <v>2.2120000000000001E-2</v>
      </c>
      <c r="O37" s="163">
        <v>2.2120000000000001E-2</v>
      </c>
      <c r="P37" s="163">
        <v>2.2120000000000001E-2</v>
      </c>
      <c r="Q37" s="163">
        <v>2.2120000000000001E-2</v>
      </c>
      <c r="R37" s="163">
        <v>2.2120000000000001E-2</v>
      </c>
      <c r="S37" s="163">
        <v>2.2120000000000001E-2</v>
      </c>
      <c r="T37" s="163">
        <v>2.2120000000000001E-2</v>
      </c>
      <c r="U37" s="163">
        <v>2.2120000000000001E-2</v>
      </c>
      <c r="V37" s="162">
        <f>N37</f>
        <v>2.2120000000000001E-2</v>
      </c>
      <c r="W37" s="162">
        <f>V37</f>
        <v>2.2120000000000001E-2</v>
      </c>
      <c r="X37" s="162">
        <f>W37</f>
        <v>2.2120000000000001E-2</v>
      </c>
      <c r="Y37" s="80">
        <f>Y38/Y36</f>
        <v>2.2119999999999997E-2</v>
      </c>
      <c r="Z37" s="80">
        <f>Z38/Z36</f>
        <v>2.2119999999999997E-2</v>
      </c>
      <c r="AA37" s="80">
        <f>AA38/AA36</f>
        <v>2.2120000000000001E-2</v>
      </c>
      <c r="AB37" s="162">
        <f>AB38/AB36</f>
        <v>2.2119999999999997E-2</v>
      </c>
      <c r="AC37" s="162">
        <f>AC38/AC36</f>
        <v>2.2120000000000001E-2</v>
      </c>
    </row>
    <row r="38" spans="1:36">
      <c r="A38" s="49">
        <v>23</v>
      </c>
      <c r="B38" s="13" t="s">
        <v>87</v>
      </c>
      <c r="C38" s="28" t="str">
        <f>"("&amp;A36&amp;") x ("&amp;A37&amp;")"</f>
        <v>(21) x (22)</v>
      </c>
      <c r="D38" s="78">
        <f t="shared" ref="D38:F38" si="58">D36*D37</f>
        <v>41222.157317880003</v>
      </c>
      <c r="E38" s="78">
        <f t="shared" si="58"/>
        <v>45495.23337632</v>
      </c>
      <c r="F38" s="78">
        <f t="shared" si="58"/>
        <v>42127.051634640004</v>
      </c>
      <c r="G38" s="78">
        <f t="shared" ref="G38:I38" si="59">G36*G37</f>
        <v>41178.058642560005</v>
      </c>
      <c r="H38" s="78">
        <f t="shared" si="59"/>
        <v>30556.8359838</v>
      </c>
      <c r="I38" s="94">
        <f t="shared" si="59"/>
        <v>29530.716944400003</v>
      </c>
      <c r="J38" s="78">
        <f t="shared" ref="J38:O38" si="60">J36*J37</f>
        <v>33580.594151160003</v>
      </c>
      <c r="K38" s="78">
        <f t="shared" si="60"/>
        <v>43807.757725199997</v>
      </c>
      <c r="L38" s="78">
        <f t="shared" si="60"/>
        <v>39605.257805120003</v>
      </c>
      <c r="M38" s="78">
        <f t="shared" si="60"/>
        <v>38431.155014559998</v>
      </c>
      <c r="N38" s="78">
        <f t="shared" si="60"/>
        <v>61359.999225840002</v>
      </c>
      <c r="O38" s="78">
        <f t="shared" si="60"/>
        <v>87462.152026759999</v>
      </c>
      <c r="P38" s="78">
        <f t="shared" ref="P38:U38" si="61">P36*P37</f>
        <v>98414.351799399999</v>
      </c>
      <c r="Q38" s="78">
        <f t="shared" si="61"/>
        <v>90089.145545840001</v>
      </c>
      <c r="R38" s="78">
        <f t="shared" si="61"/>
        <v>96793.593695959993</v>
      </c>
      <c r="S38" s="78">
        <f t="shared" si="61"/>
        <v>77024.810362079996</v>
      </c>
      <c r="T38" s="78">
        <f t="shared" si="61"/>
        <v>59502.690152080002</v>
      </c>
      <c r="U38" s="78">
        <f t="shared" si="61"/>
        <v>63387.180166800004</v>
      </c>
      <c r="V38" s="78">
        <f>V36*V37</f>
        <v>128844.44232884001</v>
      </c>
      <c r="W38" s="78">
        <f t="shared" ref="W38:X38" si="62">W36*W37</f>
        <v>101265.61157076</v>
      </c>
      <c r="X38" s="78">
        <f t="shared" si="62"/>
        <v>116993.60968148001</v>
      </c>
      <c r="Y38" s="78">
        <f>SUM(M38:O38)</f>
        <v>187253.30626715999</v>
      </c>
      <c r="Z38" s="78">
        <f>SUM(P38:R38)</f>
        <v>285297.09104119998</v>
      </c>
      <c r="AA38" s="78">
        <f>SUM(S38:U38)</f>
        <v>199914.68068096001</v>
      </c>
      <c r="AB38" s="125">
        <f>SUM(D38:O38)</f>
        <v>534356.96984824003</v>
      </c>
      <c r="AC38" s="125">
        <f>SUM(D38:U38)</f>
        <v>1019568.7415704002</v>
      </c>
    </row>
    <row r="39" spans="1:36">
      <c r="A39" s="28">
        <v>24</v>
      </c>
      <c r="B39" s="82" t="s">
        <v>92</v>
      </c>
      <c r="C39" s="28" t="s">
        <v>93</v>
      </c>
      <c r="D39" s="163">
        <v>2.511E-2</v>
      </c>
      <c r="E39" s="163">
        <v>2.511E-2</v>
      </c>
      <c r="F39" s="163">
        <v>2.511E-2</v>
      </c>
      <c r="G39" s="163">
        <v>2.511E-2</v>
      </c>
      <c r="H39" s="163">
        <v>2.511E-2</v>
      </c>
      <c r="I39" s="165">
        <v>2.511E-2</v>
      </c>
      <c r="J39" s="163">
        <v>2.511E-2</v>
      </c>
      <c r="K39" s="163">
        <v>2.511E-2</v>
      </c>
      <c r="L39" s="163">
        <v>2.511E-2</v>
      </c>
      <c r="M39" s="163">
        <v>2.511E-2</v>
      </c>
      <c r="N39" s="163">
        <v>2.511E-2</v>
      </c>
      <c r="O39" s="163">
        <v>2.511E-2</v>
      </c>
      <c r="P39" s="163">
        <v>2.511E-2</v>
      </c>
      <c r="Q39" s="163">
        <v>2.511E-2</v>
      </c>
      <c r="R39" s="163">
        <v>2.511E-2</v>
      </c>
      <c r="S39" s="163">
        <v>2.511E-2</v>
      </c>
      <c r="T39" s="163">
        <v>2.511E-2</v>
      </c>
      <c r="U39" s="163">
        <v>2.511E-2</v>
      </c>
      <c r="V39" s="80">
        <v>2.6280000000000001E-2</v>
      </c>
      <c r="W39" s="80">
        <v>2.6280000000000001E-2</v>
      </c>
      <c r="X39" s="80">
        <v>2.6280000000000001E-2</v>
      </c>
      <c r="Y39" s="80">
        <f>Y40/Y36</f>
        <v>2.511E-2</v>
      </c>
      <c r="Z39" s="80">
        <f>Z40/Z36</f>
        <v>2.5109999999999997E-2</v>
      </c>
      <c r="AA39" s="80">
        <f>AA40/AA36</f>
        <v>2.5109999999999997E-2</v>
      </c>
      <c r="AB39" s="80">
        <f>AB40/AB36</f>
        <v>2.511E-2</v>
      </c>
      <c r="AC39" s="80">
        <f>AC40/AC36</f>
        <v>2.5109999999999997E-2</v>
      </c>
    </row>
    <row r="40" spans="1:36">
      <c r="A40" s="49">
        <v>25</v>
      </c>
      <c r="B40" s="82" t="s">
        <v>94</v>
      </c>
      <c r="C40" s="28" t="str">
        <f>"("&amp;A38&amp;") x ("&amp;A39&amp;")"</f>
        <v>(23) x (24)</v>
      </c>
      <c r="D40" s="78">
        <f t="shared" ref="D40:F40" si="63">D36*D39</f>
        <v>46794.230119890002</v>
      </c>
      <c r="E40" s="78">
        <f t="shared" si="63"/>
        <v>51644.905518960004</v>
      </c>
      <c r="F40" s="78">
        <f t="shared" si="63"/>
        <v>47821.440621419999</v>
      </c>
      <c r="G40" s="78">
        <f t="shared" ref="G40:I40" si="64">G36*G39</f>
        <v>46744.170547679998</v>
      </c>
      <c r="H40" s="78">
        <f t="shared" si="64"/>
        <v>34687.258207650004</v>
      </c>
      <c r="I40" s="94">
        <f t="shared" si="64"/>
        <v>33522.436820700001</v>
      </c>
      <c r="J40" s="78">
        <f t="shared" ref="J40:O40" si="65">J36*J39</f>
        <v>38119.743179730001</v>
      </c>
      <c r="K40" s="78">
        <f t="shared" si="65"/>
        <v>49729.330763099999</v>
      </c>
      <c r="L40" s="78">
        <f t="shared" si="65"/>
        <v>44958.771405359999</v>
      </c>
      <c r="M40" s="78">
        <f t="shared" si="65"/>
        <v>43625.963038679998</v>
      </c>
      <c r="N40" s="78">
        <f t="shared" si="65"/>
        <v>69654.140170020008</v>
      </c>
      <c r="O40" s="78">
        <f t="shared" si="65"/>
        <v>99284.567694030004</v>
      </c>
      <c r="P40" s="78">
        <f t="shared" ref="P40:U40" si="66">P36*P39</f>
        <v>111717.19591695</v>
      </c>
      <c r="Q40" s="78">
        <f t="shared" si="66"/>
        <v>102266.65663002001</v>
      </c>
      <c r="R40" s="78">
        <f t="shared" si="66"/>
        <v>109877.35703912999</v>
      </c>
      <c r="S40" s="78">
        <f t="shared" si="66"/>
        <v>87436.391871240005</v>
      </c>
      <c r="T40" s="78">
        <f t="shared" si="66"/>
        <v>67545.775303739996</v>
      </c>
      <c r="U40" s="78">
        <f t="shared" si="66"/>
        <v>71955.338787900007</v>
      </c>
      <c r="V40" s="56">
        <f>SUM(D40:F40)</f>
        <v>146260.57626027003</v>
      </c>
      <c r="W40" s="56">
        <f>SUM(G40:I40)</f>
        <v>114953.86557603002</v>
      </c>
      <c r="X40" s="56">
        <f>SUM(J40:L40)</f>
        <v>132807.84534818999</v>
      </c>
      <c r="Y40" s="124">
        <f t="shared" ref="Y40" si="67">SUM(M40:O40)</f>
        <v>212564.67090273002</v>
      </c>
      <c r="Z40" s="124">
        <f>SUM(P40:R40)</f>
        <v>323861.20958610001</v>
      </c>
      <c r="AA40" s="124">
        <f>SUM(S40:U40)</f>
        <v>226937.50596287998</v>
      </c>
      <c r="AB40" s="61">
        <f>SUM(D40:O40)</f>
        <v>606586.95808722009</v>
      </c>
      <c r="AC40" s="61">
        <f>SUM(D40:U40)</f>
        <v>1157385.6736362001</v>
      </c>
    </row>
    <row r="41" spans="1:36">
      <c r="A41" s="28">
        <v>26</v>
      </c>
      <c r="B41" s="13" t="s">
        <v>88</v>
      </c>
      <c r="C41" s="28" t="str">
        <f>"("&amp;A34&amp;") - ("&amp;A35&amp;") - ("&amp;A38&amp;") - ("&amp;A40&amp;")"</f>
        <v>(19) - (20) - (23) - (25)</v>
      </c>
      <c r="D41" s="78">
        <f t="shared" ref="D41:F41" si="68">D34-D35-D38-D40</f>
        <v>80706.652562230011</v>
      </c>
      <c r="E41" s="78">
        <f t="shared" si="68"/>
        <v>88384.451104719978</v>
      </c>
      <c r="F41" s="78">
        <f t="shared" si="68"/>
        <v>81384.647743940019</v>
      </c>
      <c r="G41" s="78">
        <f t="shared" ref="G41:I41" si="69">G34-G35-G38-G40</f>
        <v>78260.740809759998</v>
      </c>
      <c r="H41" s="78">
        <f t="shared" si="69"/>
        <v>56150.155808549993</v>
      </c>
      <c r="I41" s="94">
        <f t="shared" si="69"/>
        <v>53575.636234900005</v>
      </c>
      <c r="J41" s="78">
        <f t="shared" ref="J41:O41" si="70">J34-J35-J38-J40</f>
        <v>61295.172669109998</v>
      </c>
      <c r="K41" s="78">
        <f t="shared" si="70"/>
        <v>80953.511511699995</v>
      </c>
      <c r="L41" s="78">
        <f t="shared" si="70"/>
        <v>70987.370789520006</v>
      </c>
      <c r="M41" s="78">
        <f t="shared" si="70"/>
        <v>69318.351946759998</v>
      </c>
      <c r="N41" s="78">
        <f t="shared" si="70"/>
        <v>115139.52060413997</v>
      </c>
      <c r="O41" s="78">
        <f t="shared" si="70"/>
        <v>169143.89027921</v>
      </c>
      <c r="P41" s="78">
        <f t="shared" ref="P41:U41" si="71">P34-P35-P38-P40</f>
        <v>191504.02228364995</v>
      </c>
      <c r="Q41" s="78">
        <f t="shared" si="71"/>
        <v>174657.20782413997</v>
      </c>
      <c r="R41" s="78">
        <f t="shared" si="71"/>
        <v>185801.09926490998</v>
      </c>
      <c r="S41" s="78">
        <f t="shared" si="71"/>
        <v>144804.27776668005</v>
      </c>
      <c r="T41" s="78">
        <f t="shared" si="71"/>
        <v>108445.08454418002</v>
      </c>
      <c r="U41" s="78">
        <f t="shared" si="71"/>
        <v>115367.40104529999</v>
      </c>
      <c r="V41" s="56">
        <f>SUM(D41:F41)</f>
        <v>250475.75141089002</v>
      </c>
      <c r="W41" s="56">
        <f>SUM(G41:I41)</f>
        <v>187986.53285321</v>
      </c>
      <c r="X41" s="56">
        <f>SUM(J41:L41)</f>
        <v>213236.05497033001</v>
      </c>
      <c r="Y41" s="56">
        <f>SUM(M41:O41)</f>
        <v>353601.76283010998</v>
      </c>
      <c r="Z41" s="56">
        <f>SUM(P41:R41)</f>
        <v>551962.32937269984</v>
      </c>
      <c r="AA41" s="56">
        <f>SUM(S41:U41)</f>
        <v>368616.76335616008</v>
      </c>
      <c r="AB41" s="61">
        <f>SUM(D41:O41)</f>
        <v>1005300.1020645399</v>
      </c>
      <c r="AC41" s="61">
        <f>SUM(D41:U41)</f>
        <v>1925879.1947934001</v>
      </c>
    </row>
    <row r="42" spans="1:36">
      <c r="A42" s="49">
        <v>27</v>
      </c>
      <c r="B42" s="3" t="s">
        <v>21</v>
      </c>
      <c r="C42" s="28"/>
      <c r="D42" s="81">
        <f t="shared" ref="D42:F42" si="72">D41/D30</f>
        <v>36.718222275809829</v>
      </c>
      <c r="E42" s="81">
        <f t="shared" si="72"/>
        <v>34.769650316569624</v>
      </c>
      <c r="F42" s="81">
        <f t="shared" si="72"/>
        <v>31.122236230952208</v>
      </c>
      <c r="G42" s="81">
        <f t="shared" ref="G42:I42" si="73">G41/G30</f>
        <v>27.811208532253019</v>
      </c>
      <c r="H42" s="81">
        <f t="shared" si="73"/>
        <v>18.543644586707394</v>
      </c>
      <c r="I42" s="141">
        <f t="shared" si="73"/>
        <v>16.789607093356317</v>
      </c>
      <c r="J42" s="81">
        <f t="shared" ref="J42:O42" si="74">J41/J30</f>
        <v>17.771867981765727</v>
      </c>
      <c r="K42" s="81">
        <f t="shared" si="74"/>
        <v>21.826236589835535</v>
      </c>
      <c r="L42" s="81">
        <f t="shared" si="74"/>
        <v>18.136783543566686</v>
      </c>
      <c r="M42" s="81">
        <f t="shared" si="74"/>
        <v>17.010638514542332</v>
      </c>
      <c r="N42" s="81">
        <f t="shared" si="74"/>
        <v>26.21573784247267</v>
      </c>
      <c r="O42" s="81">
        <f t="shared" si="74"/>
        <v>37.068571176684202</v>
      </c>
      <c r="P42" s="81">
        <f t="shared" ref="P42:U42" si="75">P41/P30</f>
        <v>40.427279350569968</v>
      </c>
      <c r="Q42" s="81">
        <f t="shared" si="75"/>
        <v>37.935970422271929</v>
      </c>
      <c r="R42" s="81">
        <f t="shared" si="75"/>
        <v>34.407610974983328</v>
      </c>
      <c r="S42" s="81">
        <f t="shared" si="75"/>
        <v>26.785844943891981</v>
      </c>
      <c r="T42" s="81">
        <f t="shared" si="75"/>
        <v>19.420681329545133</v>
      </c>
      <c r="U42" s="81">
        <f t="shared" si="75"/>
        <v>19.405786550933556</v>
      </c>
      <c r="V42" s="63">
        <f>V41/V30</f>
        <v>34.055166745192388</v>
      </c>
      <c r="W42" s="63">
        <f t="shared" ref="W42:AB42" si="76">W41/W30</f>
        <v>20.81108522674748</v>
      </c>
      <c r="X42" s="63">
        <f>X41/X30</f>
        <v>19.259036756713332</v>
      </c>
      <c r="Y42" s="63">
        <f t="shared" si="76"/>
        <v>27.137510577905601</v>
      </c>
      <c r="Z42" s="63">
        <f>Z41/Z30</f>
        <v>37.444022072634141</v>
      </c>
      <c r="AA42" s="63">
        <f t="shared" ref="AA42" si="77">AA41/AA30</f>
        <v>21.766564119052855</v>
      </c>
      <c r="AB42" s="63">
        <f t="shared" si="76"/>
        <v>24.828355200408495</v>
      </c>
      <c r="AC42" s="63">
        <f t="shared" ref="AC42" si="78">AC41/AC30</f>
        <v>26.686794263134995</v>
      </c>
    </row>
    <row r="43" spans="1:36">
      <c r="A43" s="28">
        <v>28</v>
      </c>
      <c r="B43" s="13" t="s">
        <v>95</v>
      </c>
      <c r="C43" s="28" t="str">
        <f>"("&amp;A$18&amp;") - ("&amp;A41&amp;")"</f>
        <v>(7) - (26)</v>
      </c>
      <c r="D43" s="78">
        <f>D32-D41</f>
        <v>39039.464441240838</v>
      </c>
      <c r="E43" s="78">
        <f t="shared" ref="E43:F43" si="79">E32-E41</f>
        <v>17023.901563417821</v>
      </c>
      <c r="F43" s="78">
        <f t="shared" si="79"/>
        <v>34386.114026258991</v>
      </c>
      <c r="G43" s="78">
        <f t="shared" ref="G43:I43" si="80">G32-G41</f>
        <v>18721.679428641903</v>
      </c>
      <c r="H43" s="78">
        <f t="shared" si="80"/>
        <v>29556.484459169857</v>
      </c>
      <c r="I43" s="94">
        <f t="shared" si="80"/>
        <v>34797.652771509594</v>
      </c>
      <c r="J43" s="78">
        <f t="shared" ref="J43:O43" si="81">J32-J41</f>
        <v>55850.718067941525</v>
      </c>
      <c r="K43" s="78">
        <f t="shared" si="81"/>
        <v>45758.646907841685</v>
      </c>
      <c r="L43" s="78">
        <f t="shared" si="81"/>
        <v>28667.257977657355</v>
      </c>
      <c r="M43" s="78">
        <f t="shared" si="81"/>
        <v>61390.261677668474</v>
      </c>
      <c r="N43" s="78">
        <f t="shared" si="81"/>
        <v>76354.411905039844</v>
      </c>
      <c r="O43" s="78">
        <f t="shared" si="81"/>
        <v>86029.944231201109</v>
      </c>
      <c r="P43" s="78">
        <f t="shared" ref="P43:U43" si="82">P32-P41</f>
        <v>66565.748528652795</v>
      </c>
      <c r="Q43" s="78">
        <f t="shared" si="82"/>
        <v>16255.481272676087</v>
      </c>
      <c r="R43" s="78">
        <f t="shared" si="82"/>
        <v>53266.630585596577</v>
      </c>
      <c r="S43" s="78">
        <f t="shared" si="82"/>
        <v>41509.497574045148</v>
      </c>
      <c r="T43" s="78">
        <f t="shared" si="82"/>
        <v>49608.376240148791</v>
      </c>
      <c r="U43" s="78">
        <f t="shared" si="82"/>
        <v>71876.411362442115</v>
      </c>
      <c r="V43" s="56">
        <f>SUM(D43:F43)</f>
        <v>90449.48003091765</v>
      </c>
      <c r="W43" s="56">
        <f>SUM(G43:I43)</f>
        <v>83075.816659321354</v>
      </c>
      <c r="X43" s="56">
        <f>SUM(J43:L43)</f>
        <v>130276.62295344057</v>
      </c>
      <c r="Y43" s="56">
        <f>SUM(M43:O43)</f>
        <v>223774.61781390943</v>
      </c>
      <c r="Z43" s="56">
        <f>SUM(P43:R43)</f>
        <v>136087.86038692546</v>
      </c>
      <c r="AA43" s="56">
        <f>SUM(S43:U43)</f>
        <v>162994.28517663607</v>
      </c>
      <c r="AB43" s="61">
        <f>SUM(D43:O43)</f>
        <v>527576.53745758906</v>
      </c>
      <c r="AC43" s="61">
        <f>SUM(D43:U43)</f>
        <v>826658.68302115053</v>
      </c>
    </row>
    <row r="44" spans="1:36" ht="6.65" customHeight="1">
      <c r="A44" s="49"/>
      <c r="B44" s="13"/>
      <c r="C44" s="28"/>
      <c r="D44" s="78"/>
      <c r="E44" s="78"/>
      <c r="F44" s="78"/>
      <c r="G44" s="78"/>
      <c r="H44" s="78"/>
      <c r="I44" s="94"/>
      <c r="J44" s="78"/>
      <c r="K44" s="78"/>
      <c r="L44" s="78"/>
      <c r="M44" s="78"/>
      <c r="N44" s="78"/>
      <c r="O44" s="78"/>
      <c r="P44" s="78"/>
      <c r="Q44" s="78"/>
      <c r="R44" s="78"/>
      <c r="S44" s="78"/>
      <c r="T44" s="78"/>
      <c r="U44" s="78"/>
    </row>
    <row r="45" spans="1:36">
      <c r="A45" s="83">
        <v>29</v>
      </c>
      <c r="B45" s="84" t="s">
        <v>96</v>
      </c>
      <c r="C45" s="83" t="str">
        <f>"("&amp;A$27&amp;") + ("&amp;A43&amp;")"</f>
        <v>(15) + (28)</v>
      </c>
      <c r="D45" s="85">
        <f t="shared" ref="D45:O45" si="83">D27+D43</f>
        <v>656096.88857236609</v>
      </c>
      <c r="E45" s="85">
        <f t="shared" si="83"/>
        <v>-337743.23170169286</v>
      </c>
      <c r="F45" s="85">
        <f t="shared" si="83"/>
        <v>458260.39402850281</v>
      </c>
      <c r="G45" s="85">
        <f t="shared" si="83"/>
        <v>-500030.73096287041</v>
      </c>
      <c r="H45" s="85">
        <f t="shared" si="83"/>
        <v>-238134.61477047048</v>
      </c>
      <c r="I45" s="143">
        <f t="shared" si="83"/>
        <v>-274817.70881155098</v>
      </c>
      <c r="J45" s="85">
        <f t="shared" si="83"/>
        <v>-183716.23828749426</v>
      </c>
      <c r="K45" s="85">
        <f t="shared" si="83"/>
        <v>-344424.67098980315</v>
      </c>
      <c r="L45" s="85">
        <f t="shared" si="83"/>
        <v>-294688.2246217659</v>
      </c>
      <c r="M45" s="85">
        <f t="shared" si="83"/>
        <v>-81256.567308483602</v>
      </c>
      <c r="N45" s="85">
        <f t="shared" si="83"/>
        <v>-360970.63667869027</v>
      </c>
      <c r="O45" s="85">
        <f t="shared" si="83"/>
        <v>488311.41950234969</v>
      </c>
      <c r="P45" s="85">
        <f t="shared" ref="P45:U45" si="84">P27+P43</f>
        <v>902586.95449495036</v>
      </c>
      <c r="Q45" s="85">
        <f t="shared" si="84"/>
        <v>-877031.87394610699</v>
      </c>
      <c r="R45" s="85">
        <f t="shared" si="84"/>
        <v>531855.29580453748</v>
      </c>
      <c r="S45" s="85">
        <f t="shared" si="84"/>
        <v>96578.671336885367</v>
      </c>
      <c r="T45" s="85">
        <f t="shared" si="84"/>
        <v>-438257.3831750903</v>
      </c>
      <c r="U45" s="85">
        <f t="shared" si="84"/>
        <v>-1466130.6885448005</v>
      </c>
      <c r="V45" s="85">
        <f t="shared" ref="V45:V46" si="85">SUM(D45:F45)</f>
        <v>776614.05089917604</v>
      </c>
      <c r="W45" s="85">
        <f t="shared" ref="W45:W46" si="86">SUM(G45:I45)</f>
        <v>-1012983.0545448918</v>
      </c>
      <c r="X45" s="85">
        <f t="shared" ref="X45:X46" si="87">SUM(J45:L45)</f>
        <v>-822829.13389906334</v>
      </c>
      <c r="Y45" s="85">
        <f t="shared" ref="Y45" si="88">SUM(M45:O45)</f>
        <v>46084.215515175834</v>
      </c>
      <c r="Z45" s="85">
        <f>SUM(P45:R45)</f>
        <v>557410.37635338085</v>
      </c>
      <c r="AA45" s="85">
        <f>SUM(S45:U45)</f>
        <v>-1807809.4003830054</v>
      </c>
      <c r="AB45" s="85">
        <f>SUM(D45:O45)</f>
        <v>-1013113.9220296034</v>
      </c>
      <c r="AC45" s="85">
        <f>SUM(D45:U45)</f>
        <v>-2263512.9460592279</v>
      </c>
      <c r="AE45" s="109"/>
      <c r="AF45" s="109"/>
      <c r="AG45" s="109"/>
      <c r="AH45" s="109"/>
      <c r="AI45" s="109"/>
      <c r="AJ45" s="109"/>
    </row>
    <row r="46" spans="1:36">
      <c r="A46" s="86">
        <v>30</v>
      </c>
      <c r="B46" s="84" t="s">
        <v>22</v>
      </c>
      <c r="C46" s="87" t="s">
        <v>23</v>
      </c>
      <c r="D46" s="85">
        <f t="shared" ref="D46:O46" si="89">D45*-0.005451</f>
        <v>-3576.3841396079674</v>
      </c>
      <c r="E46" s="85">
        <f t="shared" si="89"/>
        <v>1841.0383560059279</v>
      </c>
      <c r="F46" s="85">
        <f t="shared" si="89"/>
        <v>-2497.9774078493688</v>
      </c>
      <c r="G46" s="85">
        <f t="shared" si="89"/>
        <v>2725.6675144786068</v>
      </c>
      <c r="H46" s="85">
        <f t="shared" si="89"/>
        <v>1298.0717851138345</v>
      </c>
      <c r="I46" s="143">
        <f t="shared" si="89"/>
        <v>1498.0313307317645</v>
      </c>
      <c r="J46" s="85">
        <f t="shared" si="89"/>
        <v>1001.4372149051312</v>
      </c>
      <c r="K46" s="85">
        <f t="shared" si="89"/>
        <v>1877.458881565417</v>
      </c>
      <c r="L46" s="85">
        <f t="shared" si="89"/>
        <v>1606.3455124132458</v>
      </c>
      <c r="M46" s="85">
        <f t="shared" si="89"/>
        <v>442.92954839854411</v>
      </c>
      <c r="N46" s="85">
        <f t="shared" si="89"/>
        <v>1967.6509405355407</v>
      </c>
      <c r="O46" s="85">
        <f t="shared" si="89"/>
        <v>-2661.7855477073081</v>
      </c>
      <c r="P46" s="85">
        <f t="shared" ref="P46:U46" si="90">P45*-0.005451</f>
        <v>-4920.0014889519744</v>
      </c>
      <c r="Q46" s="85">
        <f t="shared" si="90"/>
        <v>4780.7007448802296</v>
      </c>
      <c r="R46" s="85">
        <f t="shared" si="90"/>
        <v>-2899.1432174305337</v>
      </c>
      <c r="S46" s="85">
        <f t="shared" si="90"/>
        <v>-526.45033745736214</v>
      </c>
      <c r="T46" s="85">
        <f t="shared" si="90"/>
        <v>2388.9409956874174</v>
      </c>
      <c r="U46" s="85">
        <f t="shared" si="90"/>
        <v>7991.8783832577074</v>
      </c>
      <c r="V46" s="85">
        <f t="shared" si="85"/>
        <v>-4233.3231914514081</v>
      </c>
      <c r="W46" s="85">
        <f t="shared" si="86"/>
        <v>5521.7706303242057</v>
      </c>
      <c r="X46" s="85">
        <f t="shared" si="87"/>
        <v>4485.2416088837945</v>
      </c>
      <c r="Y46" s="85">
        <f>SUM(M46:O46)</f>
        <v>-251.2050587732233</v>
      </c>
      <c r="Z46" s="85">
        <f>SUM(P46:R46)</f>
        <v>-3038.4439615022784</v>
      </c>
      <c r="AA46" s="85">
        <f>SUM(S46:U46)</f>
        <v>9854.3690414877619</v>
      </c>
      <c r="AB46" s="85">
        <f>SUM(D46:O46)</f>
        <v>5522.4839889833693</v>
      </c>
      <c r="AC46" s="85">
        <f>SUM(D46:U46)</f>
        <v>12338.409068968853</v>
      </c>
      <c r="AG46" s="109"/>
      <c r="AH46" s="109"/>
      <c r="AI46" s="109"/>
    </row>
    <row r="47" spans="1:36">
      <c r="A47" s="28">
        <v>31</v>
      </c>
      <c r="B47" s="13"/>
      <c r="C47" s="3" t="s">
        <v>97</v>
      </c>
      <c r="D47" s="88">
        <v>0.02</v>
      </c>
      <c r="E47" s="88">
        <f t="shared" ref="E47:F47" si="91">D47</f>
        <v>0.02</v>
      </c>
      <c r="F47" s="88">
        <f t="shared" si="91"/>
        <v>0.02</v>
      </c>
      <c r="G47" s="88">
        <f t="shared" ref="G47" si="92">F47</f>
        <v>0.02</v>
      </c>
      <c r="H47" s="88">
        <f t="shared" ref="H47" si="93">G47</f>
        <v>0.02</v>
      </c>
      <c r="I47" s="88">
        <f t="shared" ref="I47" si="94">H47</f>
        <v>0.02</v>
      </c>
      <c r="J47" s="88">
        <f t="shared" ref="J47" si="95">I47</f>
        <v>0.02</v>
      </c>
      <c r="K47" s="88">
        <f t="shared" ref="K47" si="96">J47</f>
        <v>0.02</v>
      </c>
      <c r="L47" s="88">
        <f t="shared" ref="L47" si="97">K47</f>
        <v>0.02</v>
      </c>
      <c r="M47" s="167">
        <v>0.02</v>
      </c>
      <c r="N47" s="88">
        <f t="shared" ref="N47:O47" si="98">M47</f>
        <v>0.02</v>
      </c>
      <c r="O47" s="88">
        <f t="shared" si="98"/>
        <v>0.02</v>
      </c>
      <c r="P47" s="169">
        <v>0.01</v>
      </c>
      <c r="Q47" s="88">
        <f t="shared" ref="Q47" si="99">P47</f>
        <v>0.01</v>
      </c>
      <c r="R47" s="88">
        <f t="shared" ref="R47" si="100">Q47</f>
        <v>0.01</v>
      </c>
      <c r="S47" s="88">
        <f t="shared" ref="S47" si="101">R47</f>
        <v>0.01</v>
      </c>
      <c r="T47" s="88">
        <f t="shared" ref="T47" si="102">S47</f>
        <v>0.01</v>
      </c>
      <c r="U47" s="88">
        <f t="shared" ref="U47" si="103">T47</f>
        <v>0.01</v>
      </c>
    </row>
    <row r="48" spans="1:36">
      <c r="A48" s="86">
        <v>32</v>
      </c>
      <c r="B48" s="84" t="s">
        <v>24</v>
      </c>
      <c r="C48" s="84" t="s">
        <v>28</v>
      </c>
      <c r="D48" s="89">
        <f>(D45+D46)/2*D47/12</f>
        <v>543.76708702729843</v>
      </c>
      <c r="E48" s="89">
        <f t="shared" ref="E48" si="104">(D51+(E45+E46)/2)*E47/12</f>
        <v>808.52195807823671</v>
      </c>
      <c r="F48" s="89">
        <f t="shared" ref="F48" si="105">(E51+(F45+F46)/2)*F47/12</f>
        <v>909.75301407083907</v>
      </c>
      <c r="G48" s="89">
        <f t="shared" ref="G48" si="106">(F51+(G45+G46)/2)*G47/12</f>
        <v>876.65039673784167</v>
      </c>
      <c r="H48" s="89">
        <f t="shared" ref="H48" si="107">(G51+(H45+H46)/2)*H47/12</f>
        <v>266.32680870428106</v>
      </c>
      <c r="I48" s="144">
        <f t="shared" ref="I48" si="108">(H51+(I45+I46)/2)*I47/12</f>
        <v>-158.35949700302501</v>
      </c>
      <c r="J48" s="89">
        <f t="shared" ref="J48:P48" si="109">(I51+(J45+J46)/2)*J47/12</f>
        <v>-538.65216162587035</v>
      </c>
      <c r="K48" s="89">
        <f t="shared" si="109"/>
        <v>-977.26825954593585</v>
      </c>
      <c r="L48" s="89">
        <f t="shared" si="109"/>
        <v>-1508.5879493265045</v>
      </c>
      <c r="M48" s="89">
        <f t="shared" si="109"/>
        <v>-1822.6818599665803</v>
      </c>
      <c r="N48" s="89">
        <f>(M51+(N45+N46)/2)*N47/12</f>
        <v>-2192.2335159817244</v>
      </c>
      <c r="O48" s="89">
        <f t="shared" si="109"/>
        <v>-2090.3483649946211</v>
      </c>
      <c r="P48" s="89">
        <f t="shared" si="109"/>
        <v>-470.53422823453906</v>
      </c>
      <c r="Q48" s="89">
        <f t="shared" ref="Q48:R48" si="110">(P51+(Q45+Q46)/2)*Q47/12</f>
        <v>-460.33643183941291</v>
      </c>
      <c r="R48" s="89">
        <f t="shared" si="110"/>
        <v>-603.75963745516242</v>
      </c>
      <c r="S48" s="89">
        <f>(R51+(S45+S46)/2)*S47/12</f>
        <v>-343.84261482531883</v>
      </c>
      <c r="T48" s="89">
        <f t="shared" ref="T48" si="111">(S51+(T45+T46)/2)*T47/12</f>
        <v>-485.71924249599601</v>
      </c>
      <c r="U48" s="89">
        <f t="shared" ref="U48" si="112">(T51+(U45+U46)/2)*U47/12</f>
        <v>-1275.2936970068033</v>
      </c>
      <c r="V48" s="89">
        <f>SUM(D48:F48)</f>
        <v>2262.0420591763741</v>
      </c>
      <c r="W48" s="89">
        <f>SUM(G48:I48)</f>
        <v>984.61770843909778</v>
      </c>
      <c r="X48" s="89">
        <f>SUM(J48:L48)</f>
        <v>-3024.5083704983108</v>
      </c>
      <c r="Y48" s="89">
        <f>SUM(M48:O48)</f>
        <v>-6105.2637409429262</v>
      </c>
      <c r="Z48" s="89">
        <f>SUM(P48:R48)</f>
        <v>-1534.6302975291144</v>
      </c>
      <c r="AA48" s="89">
        <f>SUM(S48:U48)</f>
        <v>-2104.8555543281182</v>
      </c>
      <c r="AB48" s="89">
        <f>SUM(D48:O48)</f>
        <v>-5883.1123438257646</v>
      </c>
      <c r="AC48" s="89">
        <f>SUM(D48:U48)</f>
        <v>-9522.5981956829983</v>
      </c>
    </row>
    <row r="49" spans="1:29">
      <c r="A49" s="90">
        <v>33</v>
      </c>
      <c r="B49" s="91" t="s">
        <v>25</v>
      </c>
      <c r="C49" s="92"/>
      <c r="D49" s="93">
        <f t="shared" ref="D49:F49" si="113">D45+D46+D48</f>
        <v>653064.2715197854</v>
      </c>
      <c r="E49" s="93">
        <f t="shared" si="113"/>
        <v>-335093.67138760869</v>
      </c>
      <c r="F49" s="93">
        <f t="shared" si="113"/>
        <v>456672.16963472427</v>
      </c>
      <c r="G49" s="93">
        <f>G45+G46+G48</f>
        <v>-496428.41305165394</v>
      </c>
      <c r="H49" s="93">
        <f t="shared" ref="H49:I49" si="114">H45+H46+H48</f>
        <v>-236570.21617665238</v>
      </c>
      <c r="I49" s="150">
        <f t="shared" si="114"/>
        <v>-273478.03697782225</v>
      </c>
      <c r="J49" s="93">
        <f t="shared" ref="J49:O49" si="115">J45+J46+J48</f>
        <v>-183253.45323421501</v>
      </c>
      <c r="K49" s="93">
        <f t="shared" si="115"/>
        <v>-343524.48036778369</v>
      </c>
      <c r="L49" s="93">
        <f>L45+L46+L48</f>
        <v>-294590.46705867915</v>
      </c>
      <c r="M49" s="93">
        <f t="shared" si="115"/>
        <v>-82636.31962005164</v>
      </c>
      <c r="N49" s="93">
        <f t="shared" si="115"/>
        <v>-361195.21925413643</v>
      </c>
      <c r="O49" s="93">
        <f t="shared" si="115"/>
        <v>483559.28558964777</v>
      </c>
      <c r="P49" s="93">
        <f t="shared" ref="P49:U49" si="116">P45+P46+P48</f>
        <v>897196.41877776384</v>
      </c>
      <c r="Q49" s="93">
        <f>Q45+Q46+Q48</f>
        <v>-872711.50963306613</v>
      </c>
      <c r="R49" s="93">
        <f t="shared" si="116"/>
        <v>528352.39294965181</v>
      </c>
      <c r="S49" s="93">
        <f>S45+S46+S48</f>
        <v>95708.378384602678</v>
      </c>
      <c r="T49" s="93">
        <f t="shared" si="116"/>
        <v>-436354.16142189887</v>
      </c>
      <c r="U49" s="93">
        <f t="shared" si="116"/>
        <v>-1459414.1038585496</v>
      </c>
      <c r="V49" s="93">
        <f>V45+V46+V48</f>
        <v>774642.76976690104</v>
      </c>
      <c r="W49" s="93">
        <f t="shared" ref="W49:X49" si="117">W45+W46+W48</f>
        <v>-1006476.6662061284</v>
      </c>
      <c r="X49" s="93">
        <f t="shared" si="117"/>
        <v>-821368.40066067781</v>
      </c>
      <c r="Y49" s="93">
        <f>Y45+Y46+Y48</f>
        <v>39727.746715459682</v>
      </c>
      <c r="Z49" s="93">
        <f>Z45+Z46+Z48</f>
        <v>552837.3020943494</v>
      </c>
      <c r="AA49" s="93">
        <f>AA45+AA46+AA48</f>
        <v>-1800059.8868958456</v>
      </c>
      <c r="AB49" s="93">
        <f>AB45+AB46+AB48</f>
        <v>-1013474.5503844458</v>
      </c>
      <c r="AC49" s="93">
        <f>AC45+AC46+AC48</f>
        <v>-2260697.1351859421</v>
      </c>
    </row>
    <row r="50" spans="1:29">
      <c r="A50" s="49"/>
      <c r="B50" s="13"/>
      <c r="C50" s="28"/>
      <c r="D50" s="79"/>
      <c r="E50" s="79"/>
      <c r="F50" s="79"/>
      <c r="G50" s="79"/>
      <c r="H50" s="79"/>
      <c r="I50" s="139"/>
      <c r="J50" s="79"/>
      <c r="K50" s="79"/>
      <c r="L50" s="79"/>
      <c r="M50" s="79"/>
      <c r="N50" s="79"/>
      <c r="O50" s="79"/>
      <c r="P50" s="79"/>
      <c r="Q50" s="79"/>
      <c r="R50" s="79"/>
      <c r="S50" s="79"/>
      <c r="T50" s="79"/>
      <c r="U50" s="79"/>
      <c r="Z50" s="109"/>
    </row>
    <row r="51" spans="1:29">
      <c r="A51" s="28">
        <v>34</v>
      </c>
      <c r="B51" s="13" t="s">
        <v>98</v>
      </c>
      <c r="C51" s="28" t="str">
        <f>"Σ(("&amp;A$45&amp;"), ("&amp;A46&amp;"), ("&amp;A48&amp;"))"</f>
        <v>Σ((29), (30), (32))</v>
      </c>
      <c r="D51" s="78">
        <f>D45+D46+D48</f>
        <v>653064.2715197854</v>
      </c>
      <c r="E51" s="78">
        <f>D51+E45+E46+E48</f>
        <v>317970.60013217671</v>
      </c>
      <c r="F51" s="78">
        <f t="shared" ref="F51" si="118">E51+F45+F46+F48</f>
        <v>774642.76976690092</v>
      </c>
      <c r="G51" s="78">
        <f>F51+G45+G46+G48</f>
        <v>278214.35671524698</v>
      </c>
      <c r="H51" s="78">
        <f>G51+H45+H46+H48</f>
        <v>41644.140538594613</v>
      </c>
      <c r="I51" s="94">
        <f t="shared" ref="I51" si="119">H51+I45+I46+I48</f>
        <v>-231833.89643922762</v>
      </c>
      <c r="J51" s="78">
        <f t="shared" ref="J51:O51" si="120">I51+J45+J46+J48</f>
        <v>-415087.34967344266</v>
      </c>
      <c r="K51" s="78">
        <f t="shared" si="120"/>
        <v>-758611.83004122635</v>
      </c>
      <c r="L51" s="78">
        <f t="shared" si="120"/>
        <v>-1053202.2970999056</v>
      </c>
      <c r="M51" s="78">
        <f t="shared" si="120"/>
        <v>-1135838.6167199572</v>
      </c>
      <c r="N51" s="78">
        <f>M51+N45+N46+N48</f>
        <v>-1497033.8359740938</v>
      </c>
      <c r="O51" s="78">
        <f t="shared" si="120"/>
        <v>-1013474.550384446</v>
      </c>
      <c r="P51" s="78">
        <f>O51+P45+P46+P48</f>
        <v>-116278.1316066822</v>
      </c>
      <c r="Q51" s="78">
        <f t="shared" ref="Q51:R51" si="121">P51+Q45+Q46+Q48</f>
        <v>-988989.64123974834</v>
      </c>
      <c r="R51" s="78">
        <f t="shared" si="121"/>
        <v>-460637.24829009653</v>
      </c>
      <c r="S51" s="78">
        <f t="shared" ref="S51:T51" si="122">R51+S45+S46+S48</f>
        <v>-364928.8699054938</v>
      </c>
      <c r="T51" s="78">
        <f t="shared" si="122"/>
        <v>-801283.03132739267</v>
      </c>
      <c r="U51" s="78">
        <f t="shared" ref="U51" si="123">T51+U45+U46+U48</f>
        <v>-2260697.1351859425</v>
      </c>
    </row>
    <row r="52" spans="1:29">
      <c r="A52" s="28"/>
      <c r="B52" s="13"/>
      <c r="C52" s="28"/>
      <c r="D52" s="78"/>
      <c r="E52" s="78"/>
      <c r="F52" s="78"/>
      <c r="G52" s="78"/>
      <c r="H52" s="78"/>
      <c r="I52" s="94"/>
      <c r="J52" s="78"/>
      <c r="K52" s="78"/>
      <c r="L52" s="78"/>
      <c r="M52" s="78"/>
      <c r="N52" s="78"/>
      <c r="O52" s="94"/>
      <c r="P52" s="78"/>
      <c r="Q52" s="94"/>
      <c r="R52" s="78"/>
      <c r="S52" s="94"/>
      <c r="T52" s="78"/>
      <c r="U52" s="94"/>
    </row>
    <row r="53" spans="1:29">
      <c r="A53" s="28"/>
      <c r="B53" s="1" t="s">
        <v>26</v>
      </c>
      <c r="C53" s="28"/>
      <c r="D53" s="78"/>
      <c r="E53" s="78"/>
      <c r="F53" s="78"/>
      <c r="G53" s="78"/>
      <c r="H53" s="78"/>
      <c r="I53" s="94"/>
      <c r="J53" s="78"/>
      <c r="K53" s="78"/>
      <c r="L53" s="78"/>
      <c r="M53" s="78"/>
      <c r="N53" s="78"/>
      <c r="O53" s="78"/>
      <c r="P53" s="78"/>
      <c r="Q53" s="78"/>
      <c r="R53" s="78"/>
      <c r="S53" s="78"/>
      <c r="T53" s="78"/>
      <c r="U53" s="78"/>
    </row>
    <row r="54" spans="1:29" ht="6.65" customHeight="1">
      <c r="A54" s="28"/>
      <c r="B54" s="1"/>
      <c r="C54" s="28"/>
      <c r="D54" s="78"/>
      <c r="E54" s="78"/>
      <c r="F54" s="78"/>
      <c r="G54" s="78"/>
      <c r="H54" s="78"/>
      <c r="I54" s="94"/>
      <c r="J54" s="78"/>
      <c r="K54" s="78"/>
      <c r="L54" s="78"/>
      <c r="M54" s="78"/>
      <c r="N54" s="78"/>
      <c r="O54" s="78"/>
      <c r="P54" s="78"/>
      <c r="Q54" s="78"/>
      <c r="R54" s="78"/>
      <c r="S54" s="78"/>
      <c r="T54" s="78"/>
      <c r="U54" s="78"/>
    </row>
    <row r="55" spans="1:29">
      <c r="A55" s="28">
        <v>1</v>
      </c>
      <c r="B55" s="13" t="s">
        <v>74</v>
      </c>
      <c r="C55" s="28" t="s">
        <v>75</v>
      </c>
      <c r="D55" s="95">
        <v>24888</v>
      </c>
      <c r="E55" s="95">
        <v>24752</v>
      </c>
      <c r="F55" s="95">
        <v>24984</v>
      </c>
      <c r="G55" s="95">
        <v>24936</v>
      </c>
      <c r="H55" s="95">
        <v>24861</v>
      </c>
      <c r="I55" s="145">
        <v>25138</v>
      </c>
      <c r="J55" s="95">
        <v>25090</v>
      </c>
      <c r="K55" s="95">
        <v>25147</v>
      </c>
      <c r="L55" s="95">
        <v>25215</v>
      </c>
      <c r="M55" s="95">
        <v>25204</v>
      </c>
      <c r="N55" s="95">
        <v>25206</v>
      </c>
      <c r="O55" s="95">
        <v>25370</v>
      </c>
      <c r="P55" s="72">
        <v>25275</v>
      </c>
      <c r="Q55" s="72">
        <v>25275</v>
      </c>
      <c r="R55" s="72">
        <v>25275</v>
      </c>
      <c r="S55" s="72">
        <v>25540</v>
      </c>
      <c r="T55" s="72">
        <v>25382</v>
      </c>
      <c r="U55" s="72">
        <v>25646</v>
      </c>
      <c r="V55" s="59">
        <f>SUM(D55:F55)</f>
        <v>74624</v>
      </c>
      <c r="W55" s="59">
        <f t="shared" ref="W55:W58" si="124">SUM(G55:I55)</f>
        <v>74935</v>
      </c>
      <c r="X55" s="59">
        <f t="shared" ref="X55:X58" si="125">SUM(J55:L55)</f>
        <v>75452</v>
      </c>
      <c r="Y55" s="59">
        <f>SUM(M55:O55)</f>
        <v>75780</v>
      </c>
      <c r="Z55" s="59">
        <f>SUM(P55:R55)</f>
        <v>75825</v>
      </c>
      <c r="AA55" s="59">
        <f>SUM(S55:U55)</f>
        <v>76568</v>
      </c>
      <c r="AB55" s="60">
        <f>SUM(D55:O55)</f>
        <v>300791</v>
      </c>
      <c r="AC55" s="60">
        <f>SUM(D55:U55)</f>
        <v>453184</v>
      </c>
    </row>
    <row r="56" spans="1:29">
      <c r="A56" s="28">
        <v>2</v>
      </c>
      <c r="B56" s="13" t="s">
        <v>76</v>
      </c>
      <c r="C56" s="28" t="s">
        <v>75</v>
      </c>
      <c r="D56" s="95">
        <v>92614535.622999996</v>
      </c>
      <c r="E56" s="95">
        <v>90671359.811000004</v>
      </c>
      <c r="F56" s="95">
        <v>87881683.332000002</v>
      </c>
      <c r="G56" s="95">
        <v>74691345.133000001</v>
      </c>
      <c r="H56" s="95">
        <v>74938667.191</v>
      </c>
      <c r="I56" s="145">
        <v>81961766.343999997</v>
      </c>
      <c r="J56" s="95">
        <v>92465399.359999999</v>
      </c>
      <c r="K56" s="95">
        <v>89956509.395000011</v>
      </c>
      <c r="L56" s="95">
        <v>89028760.114999995</v>
      </c>
      <c r="M56" s="95">
        <v>83782411.555000007</v>
      </c>
      <c r="N56" s="95">
        <v>87555088.140000001</v>
      </c>
      <c r="O56" s="95">
        <v>94357471.611000001</v>
      </c>
      <c r="P56" s="72">
        <v>86719350.477000013</v>
      </c>
      <c r="Q56" s="72">
        <v>88513432.501000002</v>
      </c>
      <c r="R56" s="72">
        <v>92525290.528000012</v>
      </c>
      <c r="S56" s="72">
        <v>81116364.201000005</v>
      </c>
      <c r="T56" s="72">
        <v>88290900.40200001</v>
      </c>
      <c r="U56" s="72">
        <v>101216567.68900001</v>
      </c>
      <c r="V56" s="59">
        <f t="shared" ref="V56:V58" si="126">SUM(D56:F56)</f>
        <v>271167578.76600003</v>
      </c>
      <c r="W56" s="59">
        <f t="shared" si="124"/>
        <v>231591778.66799998</v>
      </c>
      <c r="X56" s="59">
        <f t="shared" si="125"/>
        <v>271450668.87</v>
      </c>
      <c r="Y56" s="59">
        <f>SUM(M56:O56)</f>
        <v>265694971.30599999</v>
      </c>
      <c r="Z56" s="59">
        <f t="shared" ref="Z56:Z57" si="127">SUM(P56:R56)</f>
        <v>267758073.50600004</v>
      </c>
      <c r="AA56" s="59">
        <f t="shared" ref="AA56:AA58" si="128">SUM(S56:U56)</f>
        <v>270623832.29200006</v>
      </c>
      <c r="AB56" s="60">
        <f>SUM(D56:O56)</f>
        <v>1039904997.6099999</v>
      </c>
      <c r="AC56" s="60">
        <f t="shared" ref="AC56:AC58" si="129">SUM(D56:U56)</f>
        <v>1578286903.408</v>
      </c>
    </row>
    <row r="57" spans="1:29">
      <c r="A57" s="28">
        <v>3</v>
      </c>
      <c r="B57" s="13" t="s">
        <v>77</v>
      </c>
      <c r="C57" s="28" t="s">
        <v>75</v>
      </c>
      <c r="D57" s="96">
        <v>7535753.3943699999</v>
      </c>
      <c r="E57" s="157">
        <v>7668756.1657700008</v>
      </c>
      <c r="F57" s="96">
        <v>7487987.1945699984</v>
      </c>
      <c r="G57" s="96">
        <v>6514069.1576999994</v>
      </c>
      <c r="H57" s="96">
        <v>6439375.2399199996</v>
      </c>
      <c r="I57" s="146">
        <v>6996147.8690299988</v>
      </c>
      <c r="J57" s="96">
        <v>8160556.6144100009</v>
      </c>
      <c r="K57" s="96">
        <v>7656753.1084400006</v>
      </c>
      <c r="L57" s="95">
        <v>7571799.7583300006</v>
      </c>
      <c r="M57" s="95">
        <v>7140449.1310599996</v>
      </c>
      <c r="N57" s="95">
        <v>7515576.3814300001</v>
      </c>
      <c r="O57" s="95">
        <v>7826269.2324299999</v>
      </c>
      <c r="P57" s="72">
        <v>7158546.353050001</v>
      </c>
      <c r="Q57" s="72">
        <v>7441545.15974</v>
      </c>
      <c r="R57" s="72">
        <v>7972820.6930200011</v>
      </c>
      <c r="S57" s="72">
        <v>6952691.8919599997</v>
      </c>
      <c r="T57" s="72">
        <v>7537231.3772700001</v>
      </c>
      <c r="U57" s="72">
        <v>8461467.2789699994</v>
      </c>
      <c r="V57" s="127">
        <f t="shared" si="126"/>
        <v>22692496.75471</v>
      </c>
      <c r="W57" s="127">
        <f t="shared" si="124"/>
        <v>19949592.266649999</v>
      </c>
      <c r="X57" s="127">
        <f t="shared" si="125"/>
        <v>23389109.481180005</v>
      </c>
      <c r="Y57" s="127">
        <f t="shared" ref="Y57:Y58" si="130">SUM(M57:O57)</f>
        <v>22482294.74492</v>
      </c>
      <c r="Z57" s="59">
        <f t="shared" si="127"/>
        <v>22572912.205810003</v>
      </c>
      <c r="AA57" s="59">
        <f t="shared" si="128"/>
        <v>22951390.5482</v>
      </c>
      <c r="AB57" s="128">
        <f>SUM(D57:O57)</f>
        <v>88513493.247459993</v>
      </c>
      <c r="AC57" s="60">
        <f t="shared" si="129"/>
        <v>134037796.00147</v>
      </c>
    </row>
    <row r="58" spans="1:29">
      <c r="A58" s="28">
        <v>4</v>
      </c>
      <c r="B58" s="13" t="s">
        <v>78</v>
      </c>
      <c r="C58" s="28" t="s">
        <v>75</v>
      </c>
      <c r="D58" s="96">
        <v>755782.8</v>
      </c>
      <c r="E58" s="96">
        <v>754251.18</v>
      </c>
      <c r="F58" s="96">
        <v>759496.31</v>
      </c>
      <c r="G58" s="96">
        <v>751930.21000000008</v>
      </c>
      <c r="H58" s="96">
        <v>715675.25000000012</v>
      </c>
      <c r="I58" s="146">
        <v>707814.54</v>
      </c>
      <c r="J58" s="96">
        <v>701163.1</v>
      </c>
      <c r="K58" s="96">
        <v>698729.8</v>
      </c>
      <c r="L58" s="95">
        <v>697959.32</v>
      </c>
      <c r="M58" s="95">
        <v>697566.17</v>
      </c>
      <c r="N58" s="95">
        <v>697401.4800000001</v>
      </c>
      <c r="O58" s="95">
        <v>701385.92999999993</v>
      </c>
      <c r="P58" s="72">
        <v>643775.76</v>
      </c>
      <c r="Q58" s="72">
        <v>656919.37999999989</v>
      </c>
      <c r="R58" s="72">
        <v>781816.77999999991</v>
      </c>
      <c r="S58" s="72">
        <v>696621.69</v>
      </c>
      <c r="T58" s="72">
        <v>687729</v>
      </c>
      <c r="U58" s="72">
        <v>689407.15</v>
      </c>
      <c r="V58" s="127">
        <f t="shared" si="126"/>
        <v>2269530.29</v>
      </c>
      <c r="W58" s="127">
        <f t="shared" si="124"/>
        <v>2175420</v>
      </c>
      <c r="X58" s="127">
        <f t="shared" si="125"/>
        <v>2097852.2199999997</v>
      </c>
      <c r="Y58" s="127">
        <f t="shared" si="130"/>
        <v>2096353.58</v>
      </c>
      <c r="Z58" s="59">
        <f>SUM(P58:R58)</f>
        <v>2082511.92</v>
      </c>
      <c r="AA58" s="59">
        <f t="shared" si="128"/>
        <v>2073757.8399999999</v>
      </c>
      <c r="AB58" s="128">
        <f>SUM(D58:O58)</f>
        <v>8639156.0899999999</v>
      </c>
      <c r="AC58" s="60">
        <f t="shared" si="129"/>
        <v>12795425.85</v>
      </c>
    </row>
    <row r="59" spans="1:29" ht="6.65" customHeight="1">
      <c r="A59" s="28"/>
      <c r="B59" s="13"/>
      <c r="C59" s="28"/>
      <c r="D59" s="78"/>
      <c r="E59" s="78"/>
      <c r="F59" s="78"/>
      <c r="G59" s="78"/>
      <c r="H59" s="78"/>
      <c r="I59" s="94"/>
      <c r="J59" s="78"/>
      <c r="K59" s="78"/>
      <c r="L59" s="78"/>
      <c r="M59" s="78"/>
      <c r="N59" s="78"/>
      <c r="O59" s="78"/>
      <c r="P59" s="78"/>
      <c r="Q59" s="78"/>
      <c r="R59" s="78"/>
      <c r="S59" s="78"/>
      <c r="T59" s="78"/>
      <c r="U59" s="78"/>
      <c r="V59" s="59"/>
      <c r="W59" s="59"/>
      <c r="X59" s="59"/>
      <c r="Y59" s="59"/>
      <c r="Z59" s="59"/>
      <c r="AA59" s="59"/>
      <c r="AB59" s="60"/>
      <c r="AC59" s="60"/>
    </row>
    <row r="60" spans="1:29">
      <c r="A60" s="28"/>
      <c r="B60" s="71" t="str">
        <f>B15</f>
        <v>Existing Customers</v>
      </c>
      <c r="C60" s="28"/>
      <c r="D60" s="78"/>
      <c r="E60" s="78"/>
      <c r="F60" s="78"/>
      <c r="G60" s="78"/>
      <c r="H60" s="78"/>
      <c r="I60" s="94"/>
      <c r="J60" s="78"/>
      <c r="K60" s="78"/>
      <c r="L60" s="78"/>
      <c r="M60" s="78"/>
      <c r="N60" s="78"/>
      <c r="O60" s="78"/>
      <c r="P60" s="78"/>
      <c r="Q60" s="78"/>
      <c r="R60" s="78"/>
      <c r="S60" s="78"/>
      <c r="T60" s="78"/>
      <c r="U60" s="78"/>
      <c r="V60" s="59"/>
      <c r="W60" s="59"/>
      <c r="X60" s="59"/>
      <c r="Y60" s="59"/>
      <c r="Z60" s="59"/>
      <c r="AA60" s="59"/>
      <c r="AB60" s="60"/>
      <c r="AC60" s="60"/>
    </row>
    <row r="61" spans="1:29">
      <c r="A61" s="28">
        <v>5</v>
      </c>
      <c r="B61" s="13" t="str">
        <f>B16</f>
        <v>Actual Customers on System During Test Year</v>
      </c>
      <c r="C61" s="28" t="str">
        <f>C16</f>
        <v>(1) - (16)</v>
      </c>
      <c r="D61" s="74">
        <f t="shared" ref="D61:O61" si="131">D55-D75</f>
        <v>24255</v>
      </c>
      <c r="E61" s="74">
        <f t="shared" si="131"/>
        <v>24072</v>
      </c>
      <c r="F61" s="74">
        <f t="shared" si="131"/>
        <v>24232</v>
      </c>
      <c r="G61" s="74">
        <f t="shared" si="131"/>
        <v>24134</v>
      </c>
      <c r="H61" s="74">
        <f t="shared" si="131"/>
        <v>24000</v>
      </c>
      <c r="I61" s="138">
        <f t="shared" si="131"/>
        <v>24190</v>
      </c>
      <c r="J61" s="74">
        <f t="shared" si="131"/>
        <v>24124</v>
      </c>
      <c r="K61" s="74">
        <f t="shared" si="131"/>
        <v>24134</v>
      </c>
      <c r="L61" s="74">
        <f t="shared" si="131"/>
        <v>24151</v>
      </c>
      <c r="M61" s="74">
        <f t="shared" si="131"/>
        <v>24088</v>
      </c>
      <c r="N61" s="74">
        <f t="shared" si="131"/>
        <v>23973</v>
      </c>
      <c r="O61" s="74">
        <f t="shared" si="131"/>
        <v>24085</v>
      </c>
      <c r="P61" s="74">
        <f t="shared" ref="P61:U61" si="132">P55-P75</f>
        <v>23914</v>
      </c>
      <c r="Q61" s="74">
        <f t="shared" si="132"/>
        <v>23663</v>
      </c>
      <c r="R61" s="74">
        <f t="shared" si="132"/>
        <v>23383</v>
      </c>
      <c r="S61" s="74">
        <f t="shared" si="132"/>
        <v>23623</v>
      </c>
      <c r="T61" s="74">
        <f t="shared" si="132"/>
        <v>23434</v>
      </c>
      <c r="U61" s="74">
        <f t="shared" si="132"/>
        <v>23626</v>
      </c>
      <c r="V61" s="59">
        <f>SUM(D61:F61)</f>
        <v>72559</v>
      </c>
      <c r="W61" s="59">
        <f>SUM(G61:I61)</f>
        <v>72324</v>
      </c>
      <c r="X61" s="59">
        <f>SUM(J61:L61)</f>
        <v>72409</v>
      </c>
      <c r="Y61" s="59">
        <f>SUM(M61:O61)</f>
        <v>72146</v>
      </c>
      <c r="Z61" s="59">
        <f>SUM(P61:R61)</f>
        <v>70960</v>
      </c>
      <c r="AA61" s="59">
        <f>SUM(S61:U61)</f>
        <v>70683</v>
      </c>
      <c r="AB61" s="60">
        <f>SUM(D61:O61)</f>
        <v>289438</v>
      </c>
      <c r="AC61" s="60">
        <f>SUM(D61:U61)</f>
        <v>431081</v>
      </c>
    </row>
    <row r="62" spans="1:29">
      <c r="A62" s="75">
        <v>6</v>
      </c>
      <c r="B62" s="13" t="str">
        <f>B17</f>
        <v>Monthly Fixed Cost Adj. Revenue per Customer</v>
      </c>
      <c r="C62" s="28" t="str">
        <f>C17</f>
        <v>Page 3</v>
      </c>
      <c r="D62" s="76">
        <v>207.65521378741326</v>
      </c>
      <c r="E62" s="76">
        <v>209.76810320344455</v>
      </c>
      <c r="F62" s="76">
        <v>196.11197172331796</v>
      </c>
      <c r="G62" s="76">
        <v>184.69612456523961</v>
      </c>
      <c r="H62" s="76">
        <v>181.30380149354804</v>
      </c>
      <c r="I62" s="142">
        <v>188.68894686826431</v>
      </c>
      <c r="J62" s="76">
        <v>214.3293360327169</v>
      </c>
      <c r="K62" s="76">
        <v>199.0145925794908</v>
      </c>
      <c r="L62" s="76">
        <v>186.68760105586585</v>
      </c>
      <c r="M62" s="76">
        <v>194.48043938104607</v>
      </c>
      <c r="N62" s="76">
        <v>202.47361078588605</v>
      </c>
      <c r="O62" s="76">
        <v>214.98025852376637</v>
      </c>
      <c r="P62" s="76">
        <v>207.65521378741326</v>
      </c>
      <c r="Q62" s="76">
        <v>209.76810320344455</v>
      </c>
      <c r="R62" s="76">
        <v>196.11197172331796</v>
      </c>
      <c r="S62" s="76">
        <v>184.69612456523961</v>
      </c>
      <c r="T62" s="76">
        <v>181.30380149354804</v>
      </c>
      <c r="U62" s="76">
        <v>188.68894686826431</v>
      </c>
      <c r="V62" s="55">
        <f>V63/V61</f>
        <v>204.50116855974403</v>
      </c>
      <c r="W62" s="55">
        <f>W63/W61</f>
        <v>184.90588367410487</v>
      </c>
      <c r="X62" s="55">
        <f>X63/X61</f>
        <v>200.00540447826805</v>
      </c>
      <c r="Y62" s="55">
        <f>Y63/Y61</f>
        <v>203.98004354677457</v>
      </c>
      <c r="Z62" s="55">
        <f t="shared" ref="Z62" si="133">Z63/Z61</f>
        <v>204.5560265420188</v>
      </c>
      <c r="AA62" s="55">
        <f>AA63/AA61</f>
        <v>184.70366288236315</v>
      </c>
      <c r="AB62" s="55">
        <f>AB63/AB61</f>
        <v>198.35014398581021</v>
      </c>
      <c r="AC62" s="55">
        <f>AC63/AC61</f>
        <v>197.13412008856955</v>
      </c>
    </row>
    <row r="63" spans="1:29">
      <c r="A63" s="28">
        <v>7</v>
      </c>
      <c r="B63" s="13" t="str">
        <f>B18</f>
        <v>Fixed Cost Adjustment Revenue</v>
      </c>
      <c r="C63" s="28" t="str">
        <f>C18</f>
        <v>(5) x (6)</v>
      </c>
      <c r="D63" s="78">
        <f t="shared" ref="D63:I63" si="134">D61*D62</f>
        <v>5036677.2104137084</v>
      </c>
      <c r="E63" s="78">
        <f t="shared" si="134"/>
        <v>5049537.7803133177</v>
      </c>
      <c r="F63" s="78">
        <f t="shared" si="134"/>
        <v>4752185.2987994412</v>
      </c>
      <c r="G63" s="78">
        <f t="shared" si="134"/>
        <v>4457456.2702574925</v>
      </c>
      <c r="H63" s="78">
        <f t="shared" si="134"/>
        <v>4351291.2358451532</v>
      </c>
      <c r="I63" s="94">
        <f t="shared" si="134"/>
        <v>4564385.6247433135</v>
      </c>
      <c r="J63" s="78">
        <f t="shared" ref="J63:O63" si="135">J61*J62</f>
        <v>5170480.9024532624</v>
      </c>
      <c r="K63" s="78">
        <f t="shared" si="135"/>
        <v>4803018.1773134312</v>
      </c>
      <c r="L63" s="78">
        <f t="shared" si="135"/>
        <v>4508692.2531002164</v>
      </c>
      <c r="M63" s="78">
        <f t="shared" si="135"/>
        <v>4684644.8238106379</v>
      </c>
      <c r="N63" s="78">
        <f t="shared" si="135"/>
        <v>4853899.8713700464</v>
      </c>
      <c r="O63" s="78">
        <f t="shared" si="135"/>
        <v>5177799.5265449127</v>
      </c>
      <c r="P63" s="78">
        <f t="shared" ref="P63:T63" si="136">P61*P62</f>
        <v>4965866.782512201</v>
      </c>
      <c r="Q63" s="78">
        <f t="shared" si="136"/>
        <v>4963742.6261031087</v>
      </c>
      <c r="R63" s="78">
        <f t="shared" si="136"/>
        <v>4585686.2348063439</v>
      </c>
      <c r="S63" s="78">
        <f t="shared" si="136"/>
        <v>4363076.5506046554</v>
      </c>
      <c r="T63" s="78">
        <f t="shared" si="136"/>
        <v>4248673.284199805</v>
      </c>
      <c r="U63" s="223">
        <f>U61*U62-14305.89</f>
        <v>4443659.1687096134</v>
      </c>
      <c r="V63" s="56">
        <f>SUM(D63:F63)</f>
        <v>14838400.289526466</v>
      </c>
      <c r="W63" s="56">
        <f>SUM(G63:I63)</f>
        <v>13373133.13084596</v>
      </c>
      <c r="X63" s="56">
        <f>SUM(J63:L63)</f>
        <v>14482191.332866911</v>
      </c>
      <c r="Y63" s="56">
        <f>SUM(M63:O63)</f>
        <v>14716344.221725598</v>
      </c>
      <c r="Z63" s="56">
        <f>SUM(P63:R63)</f>
        <v>14515295.643421654</v>
      </c>
      <c r="AA63" s="56">
        <f>SUM(S63:U63)</f>
        <v>13055409.003514074</v>
      </c>
      <c r="AB63" s="61">
        <f>SUM(D63:O63)</f>
        <v>57410068.974964932</v>
      </c>
      <c r="AC63" s="61">
        <f>SUM(D63:U63)</f>
        <v>84980773.621900648</v>
      </c>
    </row>
    <row r="64" spans="1:29" ht="6.65" customHeight="1">
      <c r="A64" s="28"/>
      <c r="B64" s="13"/>
      <c r="C64" s="28"/>
      <c r="D64" s="79"/>
      <c r="E64" s="79"/>
      <c r="F64" s="79"/>
      <c r="G64" s="79"/>
      <c r="H64" s="79"/>
      <c r="I64" s="139"/>
      <c r="J64" s="79"/>
      <c r="K64" s="79"/>
      <c r="L64" s="79"/>
      <c r="M64" s="79"/>
      <c r="N64" s="79"/>
      <c r="O64" s="79"/>
      <c r="P64" s="79"/>
      <c r="Q64" s="79"/>
      <c r="R64" s="79"/>
      <c r="S64" s="79"/>
      <c r="T64" s="79"/>
      <c r="U64" s="79"/>
      <c r="V64" s="31"/>
      <c r="W64" s="31"/>
      <c r="X64" s="31"/>
      <c r="Y64" s="31"/>
      <c r="AB64" s="31"/>
    </row>
    <row r="65" spans="1:29">
      <c r="A65" s="28">
        <v>8</v>
      </c>
      <c r="B65" s="13" t="str">
        <f t="shared" ref="B65:C70" si="137">B20</f>
        <v>Actual Base Rate Revenue</v>
      </c>
      <c r="C65" s="28" t="str">
        <f t="shared" si="137"/>
        <v>(3) - (19)</v>
      </c>
      <c r="D65" s="78">
        <f t="shared" ref="D65:AB65" si="138">D57-D79</f>
        <v>7426968.3343700003</v>
      </c>
      <c r="E65" s="78">
        <f t="shared" si="138"/>
        <v>7556683.405770001</v>
      </c>
      <c r="F65" s="78">
        <f t="shared" si="138"/>
        <v>7365341.1645699982</v>
      </c>
      <c r="G65" s="78">
        <f t="shared" si="138"/>
        <v>6386002.6776999999</v>
      </c>
      <c r="H65" s="78">
        <f t="shared" si="138"/>
        <v>6322809.1899199998</v>
      </c>
      <c r="I65" s="94">
        <f t="shared" si="138"/>
        <v>6835059.1890299991</v>
      </c>
      <c r="J65" s="78">
        <f t="shared" si="138"/>
        <v>7994268.1844100012</v>
      </c>
      <c r="K65" s="78">
        <f t="shared" si="138"/>
        <v>7477596.3584400006</v>
      </c>
      <c r="L65" s="78">
        <f t="shared" si="138"/>
        <v>7377484.6183300009</v>
      </c>
      <c r="M65" s="78">
        <f t="shared" si="138"/>
        <v>6951516.9310599994</v>
      </c>
      <c r="N65" s="78">
        <f t="shared" si="138"/>
        <v>7296486.4514300004</v>
      </c>
      <c r="O65" s="78">
        <f t="shared" si="138"/>
        <v>7572102.2324299999</v>
      </c>
      <c r="P65" s="78">
        <f t="shared" ref="P65:U65" si="139">P57-P79</f>
        <v>6862976.0430500004</v>
      </c>
      <c r="Q65" s="78">
        <f t="shared" si="139"/>
        <v>7180439.4697399996</v>
      </c>
      <c r="R65" s="78">
        <f t="shared" si="139"/>
        <v>7658470.4530200008</v>
      </c>
      <c r="S65" s="78">
        <f t="shared" si="139"/>
        <v>6696613.8819599999</v>
      </c>
      <c r="T65" s="78">
        <f>T57-T79</f>
        <v>7294765.6672700001</v>
      </c>
      <c r="U65" s="78">
        <f t="shared" si="139"/>
        <v>8177529.5689699994</v>
      </c>
      <c r="V65" s="78">
        <f t="shared" si="138"/>
        <v>22348992.904709999</v>
      </c>
      <c r="W65" s="78">
        <f t="shared" si="138"/>
        <v>19543871.056649998</v>
      </c>
      <c r="X65" s="78">
        <f t="shared" si="138"/>
        <v>22849349.161180004</v>
      </c>
      <c r="Y65" s="78">
        <f t="shared" si="138"/>
        <v>21820105.614920001</v>
      </c>
      <c r="Z65" s="78">
        <f>Z57-Z79</f>
        <v>21701885.965810005</v>
      </c>
      <c r="AA65" s="78">
        <f t="shared" ref="AA65" si="140">AA57-AA79</f>
        <v>22168909.1182</v>
      </c>
      <c r="AB65" s="78">
        <f t="shared" si="138"/>
        <v>86562318.737459987</v>
      </c>
      <c r="AC65" s="78">
        <f t="shared" ref="AC65" si="141">AC57-AC79</f>
        <v>130433113.82146999</v>
      </c>
    </row>
    <row r="66" spans="1:29">
      <c r="A66" s="28">
        <v>9</v>
      </c>
      <c r="B66" s="13" t="str">
        <f t="shared" si="137"/>
        <v>Actual Fixed Charge Revenue</v>
      </c>
      <c r="C66" s="28" t="str">
        <f t="shared" si="137"/>
        <v>(4) - (20)</v>
      </c>
      <c r="D66" s="78">
        <f t="shared" ref="D66:AB66" si="142">D58-D80</f>
        <v>746133.57000000007</v>
      </c>
      <c r="E66" s="78">
        <f t="shared" si="142"/>
        <v>744374.88</v>
      </c>
      <c r="F66" s="78">
        <f t="shared" si="142"/>
        <v>747697.68</v>
      </c>
      <c r="G66" s="78">
        <f t="shared" si="142"/>
        <v>739254.03</v>
      </c>
      <c r="H66" s="78">
        <f t="shared" si="142"/>
        <v>701970.13000000012</v>
      </c>
      <c r="I66" s="94">
        <f t="shared" si="142"/>
        <v>692234.08000000007</v>
      </c>
      <c r="J66" s="78">
        <f t="shared" si="142"/>
        <v>685303.36</v>
      </c>
      <c r="K66" s="78">
        <f t="shared" si="142"/>
        <v>681947.10000000009</v>
      </c>
      <c r="L66" s="78">
        <f t="shared" si="142"/>
        <v>680225.80999999994</v>
      </c>
      <c r="M66" s="78">
        <f t="shared" si="142"/>
        <v>678524.2300000001</v>
      </c>
      <c r="N66" s="78">
        <f t="shared" si="142"/>
        <v>677398.8600000001</v>
      </c>
      <c r="O66" s="78">
        <f t="shared" si="142"/>
        <v>680189.04999999993</v>
      </c>
      <c r="P66" s="78">
        <f t="shared" ref="P66:U66" si="143">P58-P80</f>
        <v>621329.01</v>
      </c>
      <c r="Q66" s="78">
        <f t="shared" si="143"/>
        <v>632285.58999999985</v>
      </c>
      <c r="R66" s="78">
        <f t="shared" si="143"/>
        <v>751964.83</v>
      </c>
      <c r="S66" s="78">
        <f t="shared" si="143"/>
        <v>667323.11</v>
      </c>
      <c r="T66" s="78">
        <f t="shared" si="143"/>
        <v>657927.52</v>
      </c>
      <c r="U66" s="78">
        <f t="shared" si="143"/>
        <v>658666.56000000006</v>
      </c>
      <c r="V66" s="78">
        <f t="shared" si="142"/>
        <v>2238206.13</v>
      </c>
      <c r="W66" s="78">
        <f t="shared" si="142"/>
        <v>2133458.2400000002</v>
      </c>
      <c r="X66" s="78">
        <f t="shared" si="142"/>
        <v>2047476.2699999998</v>
      </c>
      <c r="Y66" s="78">
        <f t="shared" si="142"/>
        <v>2036112.1400000001</v>
      </c>
      <c r="Z66" s="78">
        <f>Z58-Z80</f>
        <v>2005579.43</v>
      </c>
      <c r="AA66" s="78">
        <f t="shared" ref="AA66" si="144">AA58-AA80</f>
        <v>1983917.19</v>
      </c>
      <c r="AB66" s="78">
        <f t="shared" si="142"/>
        <v>8455252.7799999993</v>
      </c>
      <c r="AC66" s="78">
        <f t="shared" ref="AC66" si="145">AC58-AC80</f>
        <v>12444749.4</v>
      </c>
    </row>
    <row r="67" spans="1:29">
      <c r="A67" s="28">
        <v>10</v>
      </c>
      <c r="B67" s="13" t="str">
        <f t="shared" si="137"/>
        <v>Actual Usage (kWhs)</v>
      </c>
      <c r="C67" s="28" t="str">
        <f t="shared" si="137"/>
        <v>(2) - (21)</v>
      </c>
      <c r="D67" s="74">
        <f t="shared" ref="D67:AB67" si="146">D56-D81</f>
        <v>91434788.423999995</v>
      </c>
      <c r="E67" s="74">
        <f t="shared" si="146"/>
        <v>89492445.385000005</v>
      </c>
      <c r="F67" s="74">
        <f t="shared" si="146"/>
        <v>86616860.732000008</v>
      </c>
      <c r="G67" s="74">
        <f t="shared" si="146"/>
        <v>73313273.571999997</v>
      </c>
      <c r="H67" s="74">
        <f t="shared" si="146"/>
        <v>73674610.203999996</v>
      </c>
      <c r="I67" s="138">
        <f t="shared" si="146"/>
        <v>80235313.160999998</v>
      </c>
      <c r="J67" s="74">
        <f t="shared" si="146"/>
        <v>90620708.694000006</v>
      </c>
      <c r="K67" s="74">
        <f t="shared" si="146"/>
        <v>87931832.283000007</v>
      </c>
      <c r="L67" s="74">
        <f t="shared" si="146"/>
        <v>86861223.475999996</v>
      </c>
      <c r="M67" s="74">
        <f t="shared" si="146"/>
        <v>81761422.29900001</v>
      </c>
      <c r="N67" s="74">
        <f t="shared" si="146"/>
        <v>85138885.077000007</v>
      </c>
      <c r="O67" s="74">
        <f t="shared" si="146"/>
        <v>91434512.001000002</v>
      </c>
      <c r="P67" s="74">
        <f t="shared" ref="P67:U67" si="147">P56-P81</f>
        <v>83309862.349000007</v>
      </c>
      <c r="Q67" s="74">
        <f t="shared" si="147"/>
        <v>85527724.387999997</v>
      </c>
      <c r="R67" s="74">
        <f t="shared" si="147"/>
        <v>89136094.080000013</v>
      </c>
      <c r="S67" s="74">
        <f t="shared" si="147"/>
        <v>78388239.009000003</v>
      </c>
      <c r="T67" s="74">
        <f t="shared" si="147"/>
        <v>85753114.414000005</v>
      </c>
      <c r="U67" s="74">
        <f t="shared" si="147"/>
        <v>98208453.244000018</v>
      </c>
      <c r="V67" s="74">
        <f t="shared" si="146"/>
        <v>267544094.54100004</v>
      </c>
      <c r="W67" s="74">
        <f t="shared" si="146"/>
        <v>227223196.93699998</v>
      </c>
      <c r="X67" s="74">
        <f t="shared" si="146"/>
        <v>265413764.45300001</v>
      </c>
      <c r="Y67" s="74">
        <f t="shared" si="146"/>
        <v>258334819.377</v>
      </c>
      <c r="Z67" s="74">
        <f t="shared" ref="Z67:AA67" si="148">Z56-Z81</f>
        <v>257973680.81700003</v>
      </c>
      <c r="AA67" s="74">
        <f t="shared" si="148"/>
        <v>262349806.66700006</v>
      </c>
      <c r="AB67" s="74">
        <f t="shared" si="146"/>
        <v>1018515875.3079998</v>
      </c>
      <c r="AC67" s="74">
        <f t="shared" ref="AC67" si="149">AC56-AC81</f>
        <v>1538839362.7920001</v>
      </c>
    </row>
    <row r="68" spans="1:29">
      <c r="A68" s="28">
        <v>11</v>
      </c>
      <c r="B68" s="13" t="str">
        <f t="shared" si="137"/>
        <v>Load Change Adjustment Rate ($/kWh)</v>
      </c>
      <c r="C68" s="28" t="str">
        <f t="shared" si="137"/>
        <v>Page 1</v>
      </c>
      <c r="D68" s="163">
        <v>2.2120000000000001E-2</v>
      </c>
      <c r="E68" s="163">
        <v>2.2120000000000001E-2</v>
      </c>
      <c r="F68" s="163">
        <v>2.2120000000000001E-2</v>
      </c>
      <c r="G68" s="163">
        <v>2.2120000000000001E-2</v>
      </c>
      <c r="H68" s="163">
        <v>2.2120000000000001E-2</v>
      </c>
      <c r="I68" s="165">
        <v>2.2120000000000001E-2</v>
      </c>
      <c r="J68" s="163">
        <v>2.2120000000000001E-2</v>
      </c>
      <c r="K68" s="163">
        <v>2.2120000000000001E-2</v>
      </c>
      <c r="L68" s="163">
        <v>2.2120000000000001E-2</v>
      </c>
      <c r="M68" s="163">
        <v>2.2120000000000001E-2</v>
      </c>
      <c r="N68" s="163">
        <v>2.2120000000000001E-2</v>
      </c>
      <c r="O68" s="163">
        <v>2.2120000000000001E-2</v>
      </c>
      <c r="P68" s="163">
        <v>2.2120000000000001E-2</v>
      </c>
      <c r="Q68" s="163">
        <v>2.2120000000000001E-2</v>
      </c>
      <c r="R68" s="163">
        <v>2.2120000000000001E-2</v>
      </c>
      <c r="S68" s="163">
        <v>2.2120000000000001E-2</v>
      </c>
      <c r="T68" s="163">
        <v>2.2120000000000001E-2</v>
      </c>
      <c r="U68" s="163">
        <v>2.2120000000000001E-2</v>
      </c>
      <c r="V68" s="80">
        <f>V23</f>
        <v>2.2120000000000001E-2</v>
      </c>
      <c r="W68" s="80">
        <f>W23</f>
        <v>2.2120000000000001E-2</v>
      </c>
      <c r="X68" s="80">
        <f>X23</f>
        <v>2.2120000000000001E-2</v>
      </c>
      <c r="Y68" s="108">
        <f>Y69/Y67</f>
        <v>2.2120000000000001E-2</v>
      </c>
      <c r="Z68" s="108">
        <f t="shared" ref="Z68" si="150">Z69/Z67</f>
        <v>2.2120000000000001E-2</v>
      </c>
      <c r="AA68" s="108">
        <f>AA69/AA67</f>
        <v>2.2119999999999997E-2</v>
      </c>
      <c r="AB68" s="108">
        <f>AB69/AB67</f>
        <v>2.2120000000000004E-2</v>
      </c>
      <c r="AC68" s="108">
        <f>AC69/AC67</f>
        <v>2.2120000000000001E-2</v>
      </c>
    </row>
    <row r="69" spans="1:29">
      <c r="A69" s="28">
        <v>12</v>
      </c>
      <c r="B69" s="13" t="str">
        <f t="shared" si="137"/>
        <v>Variable Power Supply Revenue</v>
      </c>
      <c r="C69" s="28" t="str">
        <f t="shared" si="137"/>
        <v>(10) x (11)</v>
      </c>
      <c r="D69" s="78">
        <f t="shared" ref="D69:I69" si="151">D67*D68</f>
        <v>2022537.5199388799</v>
      </c>
      <c r="E69" s="78">
        <f t="shared" si="151"/>
        <v>1979572.8919162003</v>
      </c>
      <c r="F69" s="78">
        <f t="shared" si="151"/>
        <v>1915964.9593918403</v>
      </c>
      <c r="G69" s="78">
        <f t="shared" si="151"/>
        <v>1621689.61141264</v>
      </c>
      <c r="H69" s="78">
        <f t="shared" si="151"/>
        <v>1629682.37771248</v>
      </c>
      <c r="I69" s="94">
        <f t="shared" si="151"/>
        <v>1774805.12712132</v>
      </c>
      <c r="J69" s="78">
        <f t="shared" ref="J69:O69" si="152">J67*J68</f>
        <v>2004530.0763112803</v>
      </c>
      <c r="K69" s="78">
        <f t="shared" si="152"/>
        <v>1945052.1300999601</v>
      </c>
      <c r="L69" s="78">
        <f t="shared" si="152"/>
        <v>1921370.26328912</v>
      </c>
      <c r="M69" s="78">
        <f t="shared" si="152"/>
        <v>1808562.6612538802</v>
      </c>
      <c r="N69" s="78">
        <f t="shared" si="152"/>
        <v>1883272.1379032403</v>
      </c>
      <c r="O69" s="78">
        <f t="shared" si="152"/>
        <v>2022531.4054621202</v>
      </c>
      <c r="P69" s="78">
        <f t="shared" ref="P69:U69" si="153">P67*P68</f>
        <v>1842814.1551598802</v>
      </c>
      <c r="Q69" s="78">
        <f t="shared" si="153"/>
        <v>1891873.26346256</v>
      </c>
      <c r="R69" s="78">
        <f t="shared" si="153"/>
        <v>1971690.4010496004</v>
      </c>
      <c r="S69" s="78">
        <f t="shared" si="153"/>
        <v>1733947.8468790802</v>
      </c>
      <c r="T69" s="78">
        <f t="shared" si="153"/>
        <v>1896858.8908376801</v>
      </c>
      <c r="U69" s="78">
        <f t="shared" si="153"/>
        <v>2172370.9857572806</v>
      </c>
      <c r="V69" s="78">
        <f t="shared" ref="V69:X69" si="154">V67*V68</f>
        <v>5918075.3712469209</v>
      </c>
      <c r="W69" s="78">
        <f t="shared" si="154"/>
        <v>5026177.1162464395</v>
      </c>
      <c r="X69" s="78">
        <f t="shared" si="154"/>
        <v>5870952.4697003607</v>
      </c>
      <c r="Y69" s="56">
        <f t="shared" ref="Y69" si="155">SUM(M69:O69)</f>
        <v>5714366.20461924</v>
      </c>
      <c r="Z69" s="56">
        <f>SUM(P69:R69)</f>
        <v>5706377.8196720406</v>
      </c>
      <c r="AA69" s="56">
        <f>SUM(S69:U69)</f>
        <v>5803177.7234740406</v>
      </c>
      <c r="AB69" s="61">
        <f t="shared" ref="AB69" si="156">SUM(D69:O69)</f>
        <v>22529571.161812961</v>
      </c>
      <c r="AC69" s="61">
        <f>SUM(D69:U69)</f>
        <v>34039126.704959042</v>
      </c>
    </row>
    <row r="70" spans="1:29">
      <c r="A70" s="28">
        <v>13</v>
      </c>
      <c r="B70" s="13" t="str">
        <f t="shared" si="137"/>
        <v>Customer Fixed Cost Adjustment Revenue</v>
      </c>
      <c r="C70" s="28" t="str">
        <f t="shared" si="137"/>
        <v>(8) - (9) -(12)</v>
      </c>
      <c r="D70" s="78">
        <f t="shared" ref="D70:I70" si="157">D65-D66-D69</f>
        <v>4658297.2444311203</v>
      </c>
      <c r="E70" s="78">
        <f t="shared" si="157"/>
        <v>4832735.6338538006</v>
      </c>
      <c r="F70" s="78">
        <f t="shared" si="157"/>
        <v>4701678.5251781587</v>
      </c>
      <c r="G70" s="78">
        <f t="shared" si="157"/>
        <v>4025059.0362873599</v>
      </c>
      <c r="H70" s="78">
        <f t="shared" si="157"/>
        <v>3991156.6822075201</v>
      </c>
      <c r="I70" s="94">
        <f t="shared" si="157"/>
        <v>4368019.981908679</v>
      </c>
      <c r="J70" s="78">
        <f t="shared" ref="J70:O70" si="158">J65-J66-J69</f>
        <v>5304434.7480987208</v>
      </c>
      <c r="K70" s="78">
        <f t="shared" si="158"/>
        <v>4850597.1283400413</v>
      </c>
      <c r="L70" s="78">
        <f t="shared" si="158"/>
        <v>4775888.5450408813</v>
      </c>
      <c r="M70" s="78">
        <f t="shared" si="158"/>
        <v>4464430.0398061182</v>
      </c>
      <c r="N70" s="78">
        <f t="shared" si="158"/>
        <v>4735815.4535267595</v>
      </c>
      <c r="O70" s="78">
        <f t="shared" si="158"/>
        <v>4869381.7769678794</v>
      </c>
      <c r="P70" s="78">
        <f t="shared" ref="P70:U70" si="159">P65-P66-P69</f>
        <v>4398832.8778901203</v>
      </c>
      <c r="Q70" s="78">
        <f t="shared" si="159"/>
        <v>4656280.6162774395</v>
      </c>
      <c r="R70" s="78">
        <f t="shared" si="159"/>
        <v>4934815.2219703998</v>
      </c>
      <c r="S70" s="78">
        <f t="shared" si="159"/>
        <v>4295342.9250809196</v>
      </c>
      <c r="T70" s="78">
        <f t="shared" si="159"/>
        <v>4739979.2564323191</v>
      </c>
      <c r="U70" s="78">
        <f t="shared" si="159"/>
        <v>5346492.0232127197</v>
      </c>
      <c r="V70" s="56">
        <f>SUM(D70:F70)</f>
        <v>14192711.403463079</v>
      </c>
      <c r="W70" s="56">
        <f>SUM(G70:I70)</f>
        <v>12384235.70040356</v>
      </c>
      <c r="X70" s="56">
        <f>SUM(J70:L70)</f>
        <v>14930920.421479644</v>
      </c>
      <c r="Y70" s="56">
        <f>SUM(M70:O70)</f>
        <v>14069627.270300757</v>
      </c>
      <c r="Z70" s="56">
        <f>SUM(P70:R70)</f>
        <v>13989928.716137959</v>
      </c>
      <c r="AA70" s="56">
        <f>SUM(S70:U70)</f>
        <v>14381814.204725958</v>
      </c>
      <c r="AB70" s="61">
        <f>SUM(D70:O70)</f>
        <v>55577494.79564704</v>
      </c>
      <c r="AC70" s="61">
        <f>SUM(D70:U70)</f>
        <v>83949237.716510966</v>
      </c>
    </row>
    <row r="71" spans="1:29">
      <c r="A71" s="28">
        <v>14</v>
      </c>
      <c r="B71" s="3" t="s">
        <v>27</v>
      </c>
      <c r="C71" s="28"/>
      <c r="D71" s="97">
        <f t="shared" ref="D71:I71" si="160">D70/D61</f>
        <v>192.05513273267863</v>
      </c>
      <c r="E71" s="97">
        <f t="shared" si="160"/>
        <v>200.76169964497345</v>
      </c>
      <c r="F71" s="97">
        <f t="shared" si="160"/>
        <v>194.02767106215578</v>
      </c>
      <c r="G71" s="97">
        <f t="shared" si="160"/>
        <v>166.77960703933704</v>
      </c>
      <c r="H71" s="97">
        <f t="shared" si="160"/>
        <v>166.29819509198001</v>
      </c>
      <c r="I71" s="147">
        <f t="shared" si="160"/>
        <v>180.571309710983</v>
      </c>
      <c r="J71" s="97">
        <f t="shared" ref="J71:O71" si="161">J70/J61</f>
        <v>219.88205720853594</v>
      </c>
      <c r="K71" s="97">
        <f t="shared" si="161"/>
        <v>200.98604161515047</v>
      </c>
      <c r="L71" s="97">
        <f t="shared" si="161"/>
        <v>197.75117158879058</v>
      </c>
      <c r="M71" s="97">
        <f t="shared" si="161"/>
        <v>185.33834439580366</v>
      </c>
      <c r="N71" s="97">
        <f t="shared" si="161"/>
        <v>197.54788526787468</v>
      </c>
      <c r="O71" s="97">
        <f t="shared" si="161"/>
        <v>202.17487137088975</v>
      </c>
      <c r="P71" s="97">
        <f t="shared" ref="P71:U71" si="162">P70/P61</f>
        <v>183.94383532199214</v>
      </c>
      <c r="Q71" s="97">
        <f t="shared" si="162"/>
        <v>196.77473761895953</v>
      </c>
      <c r="R71" s="97">
        <f t="shared" si="162"/>
        <v>211.04286113716802</v>
      </c>
      <c r="S71" s="97">
        <f t="shared" si="162"/>
        <v>181.82885006480632</v>
      </c>
      <c r="T71" s="97">
        <f t="shared" si="162"/>
        <v>202.26932049297255</v>
      </c>
      <c r="U71" s="97">
        <f t="shared" si="162"/>
        <v>226.29696195770421</v>
      </c>
      <c r="V71" s="63">
        <f>V70/V61</f>
        <v>195.60235675054892</v>
      </c>
      <c r="W71" s="63">
        <f>W70/W61</f>
        <v>171.23272634814944</v>
      </c>
      <c r="X71" s="63">
        <f>X70/X61</f>
        <v>206.20254970348498</v>
      </c>
      <c r="Y71" s="63">
        <f>Y70/Y61</f>
        <v>195.01604067170402</v>
      </c>
      <c r="Z71" s="63">
        <f t="shared" ref="Z71" si="163">Z70/Z61</f>
        <v>197.15232125335342</v>
      </c>
      <c r="AA71" s="63">
        <f>AA70/AA61</f>
        <v>203.46921048520801</v>
      </c>
      <c r="AB71" s="63">
        <f>AB70/AB61</f>
        <v>192.01865268432977</v>
      </c>
      <c r="AC71" s="63">
        <f>AC70/AC61</f>
        <v>194.74121503037935</v>
      </c>
    </row>
    <row r="72" spans="1:29">
      <c r="A72" s="28">
        <v>15</v>
      </c>
      <c r="B72" s="13" t="str">
        <f>B27</f>
        <v>Existing Customer Deferral - Surcharge (Rebate)</v>
      </c>
      <c r="C72" s="28" t="str">
        <f>C27</f>
        <v>(7) - (13)</v>
      </c>
      <c r="D72" s="78">
        <f t="shared" ref="D72:I72" si="164">D63-D70</f>
        <v>378379.96598258801</v>
      </c>
      <c r="E72" s="78">
        <f>E63-E70</f>
        <v>216802.14645951707</v>
      </c>
      <c r="F72" s="78">
        <f t="shared" si="164"/>
        <v>50506.77362128254</v>
      </c>
      <c r="G72" s="78">
        <f t="shared" si="164"/>
        <v>432397.23397013266</v>
      </c>
      <c r="H72" s="78">
        <f t="shared" si="164"/>
        <v>360134.5536376331</v>
      </c>
      <c r="I72" s="94">
        <f t="shared" si="164"/>
        <v>196365.64283463452</v>
      </c>
      <c r="J72" s="78">
        <f t="shared" ref="J72:O72" si="165">J63-J70</f>
        <v>-133953.84564545844</v>
      </c>
      <c r="K72" s="78">
        <f t="shared" si="165"/>
        <v>-47578.951026610099</v>
      </c>
      <c r="L72" s="78">
        <f t="shared" si="165"/>
        <v>-267196.29194066487</v>
      </c>
      <c r="M72" s="78">
        <f t="shared" si="165"/>
        <v>220214.78400451969</v>
      </c>
      <c r="N72" s="78">
        <f t="shared" si="165"/>
        <v>118084.41784328688</v>
      </c>
      <c r="O72" s="78">
        <f t="shared" si="165"/>
        <v>308417.74957703333</v>
      </c>
      <c r="P72" s="78">
        <f t="shared" ref="P72:U72" si="166">P63-P70</f>
        <v>567033.90462208074</v>
      </c>
      <c r="Q72" s="78">
        <f t="shared" si="166"/>
        <v>307462.00982566923</v>
      </c>
      <c r="R72" s="78">
        <f t="shared" si="166"/>
        <v>-349128.98716405593</v>
      </c>
      <c r="S72" s="78">
        <f t="shared" si="166"/>
        <v>67733.625523735769</v>
      </c>
      <c r="T72" s="78">
        <f t="shared" si="166"/>
        <v>-491305.97223251406</v>
      </c>
      <c r="U72" s="78">
        <f t="shared" si="166"/>
        <v>-902832.85450310633</v>
      </c>
      <c r="V72" s="56">
        <f>SUM(D72:F72)</f>
        <v>645688.88606338762</v>
      </c>
      <c r="W72" s="56">
        <f>SUM(G72:I72)</f>
        <v>988897.43044240028</v>
      </c>
      <c r="X72" s="56">
        <f>SUM(J72:L72)</f>
        <v>-448729.08861273341</v>
      </c>
      <c r="Y72" s="56">
        <f>SUM(M72:O72)</f>
        <v>646716.95142483991</v>
      </c>
      <c r="Z72" s="56">
        <f>SUM(P72:R72)</f>
        <v>525366.92728369404</v>
      </c>
      <c r="AA72" s="56">
        <f>SUM(S72:U72)</f>
        <v>-1326405.2012118846</v>
      </c>
      <c r="AB72" s="61">
        <f>SUM(D72:O72)</f>
        <v>1832574.1793178944</v>
      </c>
      <c r="AC72" s="61">
        <f>SUM(D72:U72)</f>
        <v>1031535.9053897038</v>
      </c>
    </row>
    <row r="73" spans="1:29" ht="10.15" customHeight="1">
      <c r="A73" s="28"/>
      <c r="B73" s="13"/>
      <c r="C73" s="28"/>
      <c r="D73" s="78"/>
      <c r="E73" s="78"/>
      <c r="F73" s="78"/>
      <c r="G73" s="78"/>
      <c r="H73" s="78"/>
      <c r="I73" s="94"/>
      <c r="J73" s="78"/>
      <c r="K73" s="78"/>
      <c r="L73" s="78"/>
      <c r="M73" s="78"/>
      <c r="N73" s="78"/>
      <c r="O73" s="78"/>
      <c r="P73" s="78"/>
      <c r="Q73" s="78"/>
      <c r="R73" s="78"/>
      <c r="S73" s="78"/>
      <c r="T73" s="78"/>
      <c r="U73" s="78"/>
      <c r="V73" s="56"/>
      <c r="W73" s="56"/>
      <c r="X73" s="56"/>
      <c r="Y73" s="56"/>
      <c r="Z73" s="56"/>
      <c r="AA73" s="56"/>
      <c r="AB73" s="61"/>
      <c r="AC73" s="61"/>
    </row>
    <row r="74" spans="1:29">
      <c r="A74" s="28"/>
      <c r="B74" s="71" t="str">
        <f>B29</f>
        <v>New Customers</v>
      </c>
      <c r="C74" s="28"/>
      <c r="D74" s="78"/>
      <c r="E74" s="78"/>
      <c r="F74" s="78"/>
      <c r="G74" s="78"/>
      <c r="H74" s="78"/>
      <c r="I74" s="94"/>
      <c r="J74" s="78"/>
      <c r="K74" s="78"/>
      <c r="L74" s="78"/>
      <c r="M74" s="78"/>
      <c r="N74" s="78"/>
      <c r="O74" s="78"/>
      <c r="P74" s="78"/>
      <c r="Q74" s="78"/>
      <c r="R74" s="78"/>
      <c r="S74" s="78"/>
      <c r="T74" s="78"/>
      <c r="U74" s="78"/>
      <c r="V74" s="31"/>
      <c r="W74" s="31"/>
      <c r="X74" s="31"/>
      <c r="Y74" s="31"/>
      <c r="AB74" s="31"/>
    </row>
    <row r="75" spans="1:29">
      <c r="A75" s="28">
        <v>16</v>
      </c>
      <c r="B75" s="13" t="str">
        <f>B30</f>
        <v>Actual Customers New Since Test Year</v>
      </c>
      <c r="C75" s="28" t="str">
        <f>C30</f>
        <v>Revenue Reports</v>
      </c>
      <c r="D75" s="95">
        <v>633</v>
      </c>
      <c r="E75" s="95">
        <v>680</v>
      </c>
      <c r="F75" s="95">
        <v>752</v>
      </c>
      <c r="G75" s="95">
        <v>802</v>
      </c>
      <c r="H75" s="95">
        <v>861</v>
      </c>
      <c r="I75" s="145">
        <v>948</v>
      </c>
      <c r="J75" s="95">
        <v>966</v>
      </c>
      <c r="K75" s="95">
        <v>1013</v>
      </c>
      <c r="L75" s="95">
        <v>1064</v>
      </c>
      <c r="M75" s="95">
        <v>1116</v>
      </c>
      <c r="N75" s="95">
        <v>1233</v>
      </c>
      <c r="O75" s="95">
        <v>1285</v>
      </c>
      <c r="P75" s="72">
        <v>1361</v>
      </c>
      <c r="Q75" s="72">
        <v>1612</v>
      </c>
      <c r="R75" s="72">
        <v>1892</v>
      </c>
      <c r="S75" s="72">
        <v>1917</v>
      </c>
      <c r="T75" s="72">
        <v>1948</v>
      </c>
      <c r="U75" s="72">
        <v>2020</v>
      </c>
      <c r="V75" s="59">
        <f>SUM(D75:F75)</f>
        <v>2065</v>
      </c>
      <c r="W75" s="59">
        <f>SUM(G75:I75)</f>
        <v>2611</v>
      </c>
      <c r="X75" s="59">
        <f>SUM(J75:L75)</f>
        <v>3043</v>
      </c>
      <c r="Y75" s="59">
        <f>SUM(M75:O75)</f>
        <v>3634</v>
      </c>
      <c r="Z75" s="59">
        <f>SUM(P75:R75)</f>
        <v>4865</v>
      </c>
      <c r="AA75" s="59">
        <f>SUM(S75:U75)</f>
        <v>5885</v>
      </c>
      <c r="AB75" s="60">
        <f>SUM(D75:O75)</f>
        <v>11353</v>
      </c>
      <c r="AC75" s="60">
        <f>SUM(D75:U75)</f>
        <v>22103</v>
      </c>
    </row>
    <row r="76" spans="1:29">
      <c r="A76" s="28">
        <v>17</v>
      </c>
      <c r="B76" s="13" t="str">
        <f>B31</f>
        <v>Monthly Fixed Cost Adj. Revenue per Customer</v>
      </c>
      <c r="C76" s="28" t="str">
        <f>C31</f>
        <v>Page 3</v>
      </c>
      <c r="D76" s="76">
        <v>112.04983521304027</v>
      </c>
      <c r="E76" s="76">
        <v>113.18994099979916</v>
      </c>
      <c r="F76" s="76">
        <v>105.82115283365033</v>
      </c>
      <c r="G76" s="76">
        <v>99.661212182271086</v>
      </c>
      <c r="H76" s="76">
        <v>97.830729651928408</v>
      </c>
      <c r="I76" s="142">
        <v>101.81572144273632</v>
      </c>
      <c r="J76" s="76">
        <v>115.65116206700289</v>
      </c>
      <c r="K76" s="76">
        <v>107.38739421371538</v>
      </c>
      <c r="L76" s="76">
        <v>100.73580409130814</v>
      </c>
      <c r="M76" s="76">
        <v>104.94078519557374</v>
      </c>
      <c r="N76" s="76">
        <v>109.2538651438519</v>
      </c>
      <c r="O76" s="76">
        <v>116.00239696512214</v>
      </c>
      <c r="P76" s="76">
        <v>112.04983521304027</v>
      </c>
      <c r="Q76" s="76">
        <v>113.18994099979916</v>
      </c>
      <c r="R76" s="76">
        <v>105.82115283365033</v>
      </c>
      <c r="S76" s="76">
        <v>99.661212182271086</v>
      </c>
      <c r="T76" s="76">
        <v>97.830729651928408</v>
      </c>
      <c r="U76" s="76">
        <v>101.81572144273632</v>
      </c>
      <c r="V76" s="55">
        <f>V77/V75</f>
        <v>110.15700363226294</v>
      </c>
      <c r="W76" s="55">
        <f>W77/W75</f>
        <v>99.839852289623053</v>
      </c>
      <c r="X76" s="55">
        <f>X77/X75</f>
        <v>107.6849649846764</v>
      </c>
      <c r="Y76" s="55">
        <f>Y77/Y75</f>
        <v>110.31563348949138</v>
      </c>
      <c r="Z76" s="55">
        <f t="shared" ref="Z76" si="167">Z77/Z75</f>
        <v>110.00526860799394</v>
      </c>
      <c r="AA76" s="55">
        <f>AA77/AA75</f>
        <v>101.82697067624429</v>
      </c>
      <c r="AB76" s="55">
        <f>AB77/AB75</f>
        <v>107.1724149896953</v>
      </c>
      <c r="AC76" s="55">
        <f>AC77/AC75</f>
        <v>106.37269970527072</v>
      </c>
    </row>
    <row r="77" spans="1:29">
      <c r="A77" s="28">
        <v>18</v>
      </c>
      <c r="B77" s="13" t="str">
        <f>B32</f>
        <v>Fixed Cost Adjustment Revenue</v>
      </c>
      <c r="C77" s="28" t="str">
        <f>C32</f>
        <v>(16) x (17)</v>
      </c>
      <c r="D77" s="78">
        <f t="shared" ref="D77:I77" si="168">D75*D76</f>
        <v>70927.545689854494</v>
      </c>
      <c r="E77" s="78">
        <f t="shared" si="168"/>
        <v>76969.159879863437</v>
      </c>
      <c r="F77" s="78">
        <f t="shared" si="168"/>
        <v>79577.506930905045</v>
      </c>
      <c r="G77" s="78">
        <f t="shared" si="168"/>
        <v>79928.292170181405</v>
      </c>
      <c r="H77" s="78">
        <f t="shared" si="168"/>
        <v>84232.258230310355</v>
      </c>
      <c r="I77" s="94">
        <f t="shared" si="168"/>
        <v>96521.303927714034</v>
      </c>
      <c r="J77" s="78">
        <f t="shared" ref="J77:O77" si="169">J75*J76</f>
        <v>111719.02255672478</v>
      </c>
      <c r="K77" s="78">
        <f t="shared" si="169"/>
        <v>108783.43033849368</v>
      </c>
      <c r="L77" s="78">
        <f t="shared" si="169"/>
        <v>107182.89555315186</v>
      </c>
      <c r="M77" s="78">
        <f t="shared" si="169"/>
        <v>117113.91627826029</v>
      </c>
      <c r="N77" s="78">
        <f t="shared" si="169"/>
        <v>134710.0157223694</v>
      </c>
      <c r="O77" s="78">
        <f t="shared" si="169"/>
        <v>149063.08010018195</v>
      </c>
      <c r="P77" s="78">
        <f t="shared" ref="P77:T77" si="170">P75*P76</f>
        <v>152499.82572494779</v>
      </c>
      <c r="Q77" s="78">
        <f t="shared" si="170"/>
        <v>182462.18489167624</v>
      </c>
      <c r="R77" s="78">
        <f t="shared" si="170"/>
        <v>200213.62116126643</v>
      </c>
      <c r="S77" s="78">
        <f t="shared" si="170"/>
        <v>191050.54375341366</v>
      </c>
      <c r="T77" s="78">
        <f t="shared" si="170"/>
        <v>190574.26136195654</v>
      </c>
      <c r="U77" s="223">
        <f>U75*U76+11959.16</f>
        <v>217626.91731432738</v>
      </c>
      <c r="V77" s="56">
        <f>SUM(D77:F77)</f>
        <v>227474.21250062296</v>
      </c>
      <c r="W77" s="56">
        <f>SUM(G77:I77)</f>
        <v>260681.85432820578</v>
      </c>
      <c r="X77" s="56">
        <f>SUM(J77:L77)</f>
        <v>327685.34844837029</v>
      </c>
      <c r="Y77" s="56">
        <f>SUM(M77:O77)</f>
        <v>400887.01210081164</v>
      </c>
      <c r="Z77" s="56">
        <f>SUM(P77:R77)</f>
        <v>535175.63177789049</v>
      </c>
      <c r="AA77" s="56">
        <f>SUM(S77:U77)</f>
        <v>599251.72242969763</v>
      </c>
      <c r="AB77" s="61">
        <f>SUM(D77:O77)</f>
        <v>1216728.4273780107</v>
      </c>
      <c r="AC77" s="61">
        <f>SUM(D77:U77)</f>
        <v>2351155.7815855988</v>
      </c>
    </row>
    <row r="78" spans="1:29" ht="6.65" customHeight="1">
      <c r="A78" s="28"/>
      <c r="B78" s="13"/>
      <c r="C78" s="28"/>
      <c r="D78" s="79"/>
      <c r="E78" s="79"/>
      <c r="F78" s="79"/>
      <c r="G78" s="79"/>
      <c r="H78" s="79"/>
      <c r="I78" s="139"/>
      <c r="J78" s="79"/>
      <c r="K78" s="79"/>
      <c r="L78" s="79"/>
      <c r="M78" s="79"/>
      <c r="N78" s="79"/>
      <c r="O78" s="79"/>
      <c r="P78" s="79"/>
      <c r="Q78" s="79"/>
      <c r="R78" s="79"/>
      <c r="S78" s="79"/>
      <c r="T78" s="79"/>
      <c r="U78" s="79"/>
      <c r="V78" s="56"/>
      <c r="W78" s="56"/>
      <c r="X78" s="56"/>
      <c r="Y78" s="56"/>
      <c r="Z78" s="56"/>
      <c r="AA78" s="56"/>
      <c r="AB78" s="61"/>
      <c r="AC78" s="61"/>
    </row>
    <row r="79" spans="1:29">
      <c r="A79" s="28">
        <v>19</v>
      </c>
      <c r="B79" s="13" t="str">
        <f t="shared" ref="B79:C83" si="171">B34</f>
        <v>Actual Base Rate Revenue</v>
      </c>
      <c r="C79" s="28" t="str">
        <f t="shared" si="171"/>
        <v>Revenue Reports</v>
      </c>
      <c r="D79" s="96">
        <v>108785.05999999998</v>
      </c>
      <c r="E79" s="96">
        <v>112072.76</v>
      </c>
      <c r="F79" s="96">
        <v>122646.03</v>
      </c>
      <c r="G79" s="96">
        <v>128066.47999999998</v>
      </c>
      <c r="H79" s="96">
        <v>116566.05</v>
      </c>
      <c r="I79" s="146">
        <v>161088.68000000002</v>
      </c>
      <c r="J79" s="96">
        <v>166288.43000000002</v>
      </c>
      <c r="K79" s="96">
        <v>179156.74999999997</v>
      </c>
      <c r="L79" s="96">
        <v>194315.14</v>
      </c>
      <c r="M79" s="96">
        <v>188932.19999999998</v>
      </c>
      <c r="N79" s="96">
        <v>219089.93</v>
      </c>
      <c r="O79" s="96">
        <v>254167</v>
      </c>
      <c r="P79" s="73">
        <v>295570.31000000006</v>
      </c>
      <c r="Q79" s="73">
        <v>261105.69</v>
      </c>
      <c r="R79" s="73">
        <v>314350.24000000005</v>
      </c>
      <c r="S79" s="73">
        <v>256078.01000000004</v>
      </c>
      <c r="T79" s="73">
        <v>242465.71</v>
      </c>
      <c r="U79" s="73">
        <v>283937.71000000002</v>
      </c>
      <c r="V79" s="56">
        <f t="shared" ref="V79:V81" si="172">SUM(D79:F79)</f>
        <v>343503.85</v>
      </c>
      <c r="W79" s="56">
        <f t="shared" ref="W79:W81" si="173">SUM(G79:I79)</f>
        <v>405721.20999999996</v>
      </c>
      <c r="X79" s="56">
        <f t="shared" ref="X79:X81" si="174">SUM(J79:L79)</f>
        <v>539760.32000000007</v>
      </c>
      <c r="Y79" s="56">
        <f t="shared" ref="Y79:Y81" si="175">SUM(M79:O79)</f>
        <v>662189.13</v>
      </c>
      <c r="Z79" s="56">
        <f>SUM(P79:R79)</f>
        <v>871026.24</v>
      </c>
      <c r="AA79" s="56">
        <f>SUM(S79:U79)</f>
        <v>782481.43</v>
      </c>
      <c r="AB79" s="61">
        <f t="shared" ref="AB79:AB81" si="176">SUM(D79:O79)</f>
        <v>1951174.5099999998</v>
      </c>
      <c r="AC79" s="61">
        <f>SUM(D79:U79)</f>
        <v>3604682.18</v>
      </c>
    </row>
    <row r="80" spans="1:29">
      <c r="A80" s="28">
        <v>20</v>
      </c>
      <c r="B80" s="13" t="str">
        <f t="shared" si="171"/>
        <v>Actual Fixed Charge Revenue</v>
      </c>
      <c r="C80" s="28" t="str">
        <f t="shared" si="171"/>
        <v>Revenue Reports</v>
      </c>
      <c r="D80" s="96">
        <v>9649.23</v>
      </c>
      <c r="E80" s="96">
        <v>9876.2999999999993</v>
      </c>
      <c r="F80" s="96">
        <v>11798.630000000001</v>
      </c>
      <c r="G80" s="96">
        <v>12676.18</v>
      </c>
      <c r="H80" s="96">
        <v>13705.12</v>
      </c>
      <c r="I80" s="146">
        <v>15580.46</v>
      </c>
      <c r="J80" s="96">
        <v>15859.74</v>
      </c>
      <c r="K80" s="96">
        <v>16782.699999999997</v>
      </c>
      <c r="L80" s="96">
        <v>17733.509999999998</v>
      </c>
      <c r="M80" s="96">
        <v>19041.939999999999</v>
      </c>
      <c r="N80" s="96">
        <v>20002.62</v>
      </c>
      <c r="O80" s="96">
        <v>21196.880000000001</v>
      </c>
      <c r="P80" s="73">
        <v>22446.75</v>
      </c>
      <c r="Q80" s="73">
        <v>24633.789999999997</v>
      </c>
      <c r="R80" s="73">
        <v>29851.949999999997</v>
      </c>
      <c r="S80" s="73">
        <v>29298.580000000005</v>
      </c>
      <c r="T80" s="73">
        <v>29801.479999999996</v>
      </c>
      <c r="U80" s="73">
        <v>30740.59</v>
      </c>
      <c r="V80" s="56">
        <f t="shared" si="172"/>
        <v>31324.16</v>
      </c>
      <c r="W80" s="56">
        <f t="shared" si="173"/>
        <v>41961.760000000002</v>
      </c>
      <c r="X80" s="56">
        <f t="shared" si="174"/>
        <v>50375.95</v>
      </c>
      <c r="Y80" s="56">
        <f t="shared" si="175"/>
        <v>60241.440000000002</v>
      </c>
      <c r="Z80" s="56">
        <f t="shared" ref="Z80:Z81" si="177">SUM(P80:R80)</f>
        <v>76932.489999999991</v>
      </c>
      <c r="AA80" s="56">
        <f t="shared" ref="AA80:AA81" si="178">SUM(S80:U80)</f>
        <v>89840.65</v>
      </c>
      <c r="AB80" s="61">
        <f t="shared" si="176"/>
        <v>183903.31</v>
      </c>
      <c r="AC80" s="61">
        <f>SUM(D80:U80)</f>
        <v>350676.45</v>
      </c>
    </row>
    <row r="81" spans="1:37">
      <c r="A81" s="28">
        <v>21</v>
      </c>
      <c r="B81" s="13" t="str">
        <f t="shared" si="171"/>
        <v>Actual Usage (kWhs)</v>
      </c>
      <c r="C81" s="28" t="str">
        <f t="shared" si="171"/>
        <v>Revenue Reports</v>
      </c>
      <c r="D81" s="95">
        <v>1179747.199</v>
      </c>
      <c r="E81" s="95">
        <v>1178914.426</v>
      </c>
      <c r="F81" s="95">
        <v>1264822.6000000001</v>
      </c>
      <c r="G81" s="95">
        <v>1378071.5610000002</v>
      </c>
      <c r="H81" s="95">
        <v>1264056.987</v>
      </c>
      <c r="I81" s="145">
        <v>1726453.183</v>
      </c>
      <c r="J81" s="95">
        <v>1844690.666</v>
      </c>
      <c r="K81" s="95">
        <v>2024677.112</v>
      </c>
      <c r="L81" s="95">
        <v>2167536.639</v>
      </c>
      <c r="M81" s="95">
        <v>2020989.2560000001</v>
      </c>
      <c r="N81" s="95">
        <v>2416203.0630000001</v>
      </c>
      <c r="O81" s="95">
        <v>2922959.61</v>
      </c>
      <c r="P81" s="72">
        <v>3409488.128</v>
      </c>
      <c r="Q81" s="72">
        <v>2985708.1130000004</v>
      </c>
      <c r="R81" s="72">
        <v>3389196.4479999999</v>
      </c>
      <c r="S81" s="72">
        <v>2728125.1919999998</v>
      </c>
      <c r="T81" s="72">
        <v>2537785.9880000004</v>
      </c>
      <c r="U81" s="72">
        <v>3008114.4449999998</v>
      </c>
      <c r="V81" s="124">
        <f t="shared" si="172"/>
        <v>3623484.2250000001</v>
      </c>
      <c r="W81" s="124">
        <f t="shared" si="173"/>
        <v>4368581.7310000006</v>
      </c>
      <c r="X81" s="124">
        <f t="shared" si="174"/>
        <v>6036904.4169999994</v>
      </c>
      <c r="Y81" s="124">
        <f t="shared" si="175"/>
        <v>7360151.9289999995</v>
      </c>
      <c r="Z81" s="56">
        <f t="shared" si="177"/>
        <v>9784392.6889999993</v>
      </c>
      <c r="AA81" s="56">
        <f t="shared" si="178"/>
        <v>8274025.625</v>
      </c>
      <c r="AB81" s="125">
        <f t="shared" si="176"/>
        <v>21389122.302000001</v>
      </c>
      <c r="AC81" s="61">
        <f>SUM(D81:U81)</f>
        <v>39447540.615999997</v>
      </c>
    </row>
    <row r="82" spans="1:37">
      <c r="A82" s="28">
        <v>22</v>
      </c>
      <c r="B82" s="13" t="str">
        <f t="shared" si="171"/>
        <v>Load Change Adjustment Rate ($/kWh)</v>
      </c>
      <c r="C82" s="28" t="str">
        <f t="shared" si="171"/>
        <v>Page 1</v>
      </c>
      <c r="D82" s="163">
        <v>2.2120000000000001E-2</v>
      </c>
      <c r="E82" s="163">
        <v>2.2120000000000001E-2</v>
      </c>
      <c r="F82" s="163">
        <v>2.2120000000000001E-2</v>
      </c>
      <c r="G82" s="163">
        <v>2.2120000000000001E-2</v>
      </c>
      <c r="H82" s="163">
        <v>2.2120000000000001E-2</v>
      </c>
      <c r="I82" s="165">
        <v>2.2120000000000001E-2</v>
      </c>
      <c r="J82" s="163">
        <v>2.2120000000000001E-2</v>
      </c>
      <c r="K82" s="163">
        <v>2.2120000000000001E-2</v>
      </c>
      <c r="L82" s="163">
        <v>2.2120000000000001E-2</v>
      </c>
      <c r="M82" s="163">
        <v>2.2120000000000001E-2</v>
      </c>
      <c r="N82" s="163">
        <v>2.2120000000000001E-2</v>
      </c>
      <c r="O82" s="163">
        <v>2.2120000000000001E-2</v>
      </c>
      <c r="P82" s="163">
        <v>2.2120000000000001E-2</v>
      </c>
      <c r="Q82" s="163">
        <v>2.2120000000000001E-2</v>
      </c>
      <c r="R82" s="163">
        <v>2.2120000000000001E-2</v>
      </c>
      <c r="S82" s="163">
        <v>2.2120000000000001E-2</v>
      </c>
      <c r="T82" s="163">
        <v>2.2120000000000001E-2</v>
      </c>
      <c r="U82" s="163">
        <v>2.2120000000000001E-2</v>
      </c>
      <c r="V82" s="80">
        <v>2.4989999999999998E-2</v>
      </c>
      <c r="W82" s="80">
        <v>2.4989999999999998E-2</v>
      </c>
      <c r="X82" s="80">
        <v>2.4989999999999998E-2</v>
      </c>
      <c r="Y82" s="80">
        <f>Y83/Y81</f>
        <v>2.2120000000000001E-2</v>
      </c>
      <c r="Z82" s="80">
        <f>Z83/Z81</f>
        <v>2.2120000000000004E-2</v>
      </c>
      <c r="AA82" s="80">
        <f>AA83/AA81</f>
        <v>2.2119999999999997E-2</v>
      </c>
      <c r="AB82" s="80">
        <f>AB83/AB81</f>
        <v>2.2119999999999997E-2</v>
      </c>
      <c r="AC82" s="80">
        <f>AC83/AC81</f>
        <v>2.2120000000000001E-2</v>
      </c>
    </row>
    <row r="83" spans="1:37">
      <c r="A83" s="28">
        <v>23</v>
      </c>
      <c r="B83" s="13" t="str">
        <f t="shared" si="171"/>
        <v>Variable Power Supply Revenue</v>
      </c>
      <c r="C83" s="28" t="str">
        <f t="shared" si="171"/>
        <v>(21) x (22)</v>
      </c>
      <c r="D83" s="78">
        <f t="shared" ref="D83:I83" si="179">D81*D82</f>
        <v>26096.008041880003</v>
      </c>
      <c r="E83" s="78">
        <f t="shared" si="179"/>
        <v>26077.58710312</v>
      </c>
      <c r="F83" s="78">
        <f t="shared" si="179"/>
        <v>27977.875912000003</v>
      </c>
      <c r="G83" s="78">
        <f t="shared" si="179"/>
        <v>30482.942929320005</v>
      </c>
      <c r="H83" s="78">
        <f t="shared" si="179"/>
        <v>27960.940552439999</v>
      </c>
      <c r="I83" s="94">
        <f t="shared" si="179"/>
        <v>38189.144407959997</v>
      </c>
      <c r="J83" s="78">
        <f t="shared" ref="J83:O83" si="180">J81*J82</f>
        <v>40804.55753192</v>
      </c>
      <c r="K83" s="78">
        <f t="shared" si="180"/>
        <v>44785.857717439998</v>
      </c>
      <c r="L83" s="78">
        <f t="shared" si="180"/>
        <v>47945.910454680001</v>
      </c>
      <c r="M83" s="78">
        <f t="shared" si="180"/>
        <v>44704.282342720006</v>
      </c>
      <c r="N83" s="78">
        <f t="shared" si="180"/>
        <v>53446.411753560002</v>
      </c>
      <c r="O83" s="78">
        <f t="shared" si="180"/>
        <v>64655.866573200001</v>
      </c>
      <c r="P83" s="78">
        <f t="shared" ref="P83:U83" si="181">P81*P82</f>
        <v>75417.877391360002</v>
      </c>
      <c r="Q83" s="78">
        <f t="shared" si="181"/>
        <v>66043.863459560016</v>
      </c>
      <c r="R83" s="78">
        <f t="shared" si="181"/>
        <v>74969.025429760004</v>
      </c>
      <c r="S83" s="78">
        <f t="shared" si="181"/>
        <v>60346.12924704</v>
      </c>
      <c r="T83" s="78">
        <f t="shared" si="181"/>
        <v>56135.826054560013</v>
      </c>
      <c r="U83" s="78">
        <f t="shared" si="181"/>
        <v>66539.491523399993</v>
      </c>
      <c r="V83" s="56">
        <f t="shared" ref="V83:V85" si="182">SUM(D83:F83)</f>
        <v>80151.471057000002</v>
      </c>
      <c r="W83" s="56">
        <f t="shared" ref="W83:W85" si="183">SUM(G83:I83)</f>
        <v>96633.02788971999</v>
      </c>
      <c r="X83" s="56">
        <f t="shared" ref="X83:X85" si="184">SUM(J83:L83)</f>
        <v>133536.32570404001</v>
      </c>
      <c r="Y83" s="56">
        <f t="shared" ref="Y83:Y85" si="185">SUM(M83:O83)</f>
        <v>162806.56066948001</v>
      </c>
      <c r="Z83" s="56">
        <f>SUM(P83:R83)</f>
        <v>216430.76628068002</v>
      </c>
      <c r="AA83" s="56">
        <f>SUM(S83:U83)</f>
        <v>183021.44682499999</v>
      </c>
      <c r="AB83" s="61">
        <f t="shared" ref="AB83:AB85" si="186">SUM(D83:O83)</f>
        <v>473127.38532023999</v>
      </c>
      <c r="AC83" s="61">
        <f>SUM(D83:U83)</f>
        <v>872579.59842591989</v>
      </c>
    </row>
    <row r="84" spans="1:37">
      <c r="A84" s="28">
        <v>24</v>
      </c>
      <c r="B84" s="13" t="str">
        <f>B39</f>
        <v>Fixed Production and Transmission Rate per kWh</v>
      </c>
      <c r="C84" s="28" t="s">
        <v>99</v>
      </c>
      <c r="D84" s="163">
        <v>2.4840000000000001E-2</v>
      </c>
      <c r="E84" s="163">
        <v>2.4840000000000001E-2</v>
      </c>
      <c r="F84" s="163">
        <v>2.4840000000000001E-2</v>
      </c>
      <c r="G84" s="163">
        <v>2.4840000000000001E-2</v>
      </c>
      <c r="H84" s="163">
        <v>2.4840000000000001E-2</v>
      </c>
      <c r="I84" s="165">
        <v>2.4840000000000001E-2</v>
      </c>
      <c r="J84" s="163">
        <v>2.4840000000000001E-2</v>
      </c>
      <c r="K84" s="163">
        <v>2.4840000000000001E-2</v>
      </c>
      <c r="L84" s="163">
        <v>2.4840000000000001E-2</v>
      </c>
      <c r="M84" s="163">
        <v>2.4840000000000001E-2</v>
      </c>
      <c r="N84" s="163">
        <v>2.4840000000000001E-2</v>
      </c>
      <c r="O84" s="163">
        <v>2.4840000000000001E-2</v>
      </c>
      <c r="P84" s="163">
        <v>2.4840000000000001E-2</v>
      </c>
      <c r="Q84" s="163">
        <v>2.4840000000000001E-2</v>
      </c>
      <c r="R84" s="163">
        <v>2.4840000000000001E-2</v>
      </c>
      <c r="S84" s="163">
        <v>2.4840000000000001E-2</v>
      </c>
      <c r="T84" s="163">
        <v>2.4840000000000001E-2</v>
      </c>
      <c r="U84" s="163">
        <v>2.4840000000000001E-2</v>
      </c>
      <c r="V84" s="80">
        <v>2.6960000000000001E-2</v>
      </c>
      <c r="W84" s="80">
        <v>2.6960000000000001E-2</v>
      </c>
      <c r="X84" s="80">
        <v>2.6960000000000001E-2</v>
      </c>
      <c r="Y84" s="80">
        <f>Y85/Y81</f>
        <v>2.4840000000000004E-2</v>
      </c>
      <c r="Z84" s="80">
        <f t="shared" ref="Z84" si="187">Z85/Z81</f>
        <v>2.4840000000000001E-2</v>
      </c>
      <c r="AA84" s="80">
        <f>AA85/AA81</f>
        <v>2.4840000000000001E-2</v>
      </c>
      <c r="AB84" s="80">
        <f>AB85/AB81</f>
        <v>2.4840000000000001E-2</v>
      </c>
      <c r="AC84" s="80">
        <f>AC85/AC81</f>
        <v>2.4840000000000001E-2</v>
      </c>
    </row>
    <row r="85" spans="1:37">
      <c r="A85" s="28">
        <v>25</v>
      </c>
      <c r="B85" s="13" t="str">
        <f>B40</f>
        <v>Fixed Production and Transmission Revenue</v>
      </c>
      <c r="C85" s="28" t="str">
        <f>C40</f>
        <v>(23) x (24)</v>
      </c>
      <c r="D85" s="78">
        <f t="shared" ref="D85:I85" si="188">D81*D84</f>
        <v>29304.920423160002</v>
      </c>
      <c r="E85" s="78">
        <f t="shared" si="188"/>
        <v>29284.234341840001</v>
      </c>
      <c r="F85" s="78">
        <f t="shared" si="188"/>
        <v>31418.193384000002</v>
      </c>
      <c r="G85" s="78">
        <f t="shared" si="188"/>
        <v>34231.297575240009</v>
      </c>
      <c r="H85" s="78">
        <f t="shared" si="188"/>
        <v>31399.175557080001</v>
      </c>
      <c r="I85" s="94">
        <f t="shared" si="188"/>
        <v>42885.097065720001</v>
      </c>
      <c r="J85" s="78">
        <f t="shared" ref="J85:O85" si="189">J81*J84</f>
        <v>45822.116143439998</v>
      </c>
      <c r="K85" s="78">
        <f t="shared" si="189"/>
        <v>50292.979462080002</v>
      </c>
      <c r="L85" s="78">
        <f t="shared" si="189"/>
        <v>53841.610112759998</v>
      </c>
      <c r="M85" s="78">
        <f t="shared" si="189"/>
        <v>50201.373119040007</v>
      </c>
      <c r="N85" s="78">
        <f t="shared" si="189"/>
        <v>60018.484084920005</v>
      </c>
      <c r="O85" s="78">
        <f t="shared" si="189"/>
        <v>72606.316712400003</v>
      </c>
      <c r="P85" s="78">
        <f t="shared" ref="P85:U85" si="190">P81*P84</f>
        <v>84691.685099520007</v>
      </c>
      <c r="Q85" s="78">
        <f t="shared" si="190"/>
        <v>74164.989526920006</v>
      </c>
      <c r="R85" s="78">
        <f t="shared" si="190"/>
        <v>84187.639768320005</v>
      </c>
      <c r="S85" s="78">
        <f t="shared" si="190"/>
        <v>67766.62976928</v>
      </c>
      <c r="T85" s="78">
        <f t="shared" si="190"/>
        <v>63038.60394192001</v>
      </c>
      <c r="U85" s="78">
        <f t="shared" si="190"/>
        <v>74721.562813800003</v>
      </c>
      <c r="V85" s="56">
        <f t="shared" si="182"/>
        <v>90007.348148999998</v>
      </c>
      <c r="W85" s="56">
        <f t="shared" si="183"/>
        <v>108515.57019804002</v>
      </c>
      <c r="X85" s="56">
        <f t="shared" si="184"/>
        <v>149956.70571827999</v>
      </c>
      <c r="Y85" s="56">
        <f t="shared" si="185"/>
        <v>182826.17391636001</v>
      </c>
      <c r="Z85" s="56">
        <f>SUM(P85:R85)</f>
        <v>243044.31439476</v>
      </c>
      <c r="AA85" s="56">
        <f>SUM(S85:U85)</f>
        <v>205526.79652500001</v>
      </c>
      <c r="AB85" s="61">
        <f t="shared" si="186"/>
        <v>531305.79798168002</v>
      </c>
      <c r="AC85" s="61">
        <f>SUM(D85:U85)</f>
        <v>979876.90890143998</v>
      </c>
    </row>
    <row r="86" spans="1:37">
      <c r="A86" s="28">
        <v>26</v>
      </c>
      <c r="B86" s="13" t="str">
        <f>B41</f>
        <v>Customer Fixed Cost Adjustment Revenue</v>
      </c>
      <c r="C86" s="28" t="str">
        <f>C41</f>
        <v>(19) - (20) - (23) - (25)</v>
      </c>
      <c r="D86" s="78">
        <f t="shared" ref="D86:I86" si="191">D79-D80-D83-D85</f>
        <v>43734.901534959979</v>
      </c>
      <c r="E86" s="78">
        <f t="shared" si="191"/>
        <v>46834.638555040001</v>
      </c>
      <c r="F86" s="78">
        <f t="shared" si="191"/>
        <v>51451.330703999993</v>
      </c>
      <c r="G86" s="78">
        <f t="shared" si="191"/>
        <v>50676.059495439971</v>
      </c>
      <c r="H86" s="78">
        <f t="shared" si="191"/>
        <v>43500.813890480014</v>
      </c>
      <c r="I86" s="94">
        <f t="shared" si="191"/>
        <v>64433.978526320025</v>
      </c>
      <c r="J86" s="78">
        <f t="shared" ref="J86:O86" si="192">J79-J80-J83-J85</f>
        <v>63802.016324640033</v>
      </c>
      <c r="K86" s="78">
        <f t="shared" si="192"/>
        <v>67295.212820479996</v>
      </c>
      <c r="L86" s="78">
        <f t="shared" si="192"/>
        <v>74794.109432559999</v>
      </c>
      <c r="M86" s="78">
        <f t="shared" si="192"/>
        <v>74984.604538239975</v>
      </c>
      <c r="N86" s="78">
        <f t="shared" si="192"/>
        <v>85622.414161519991</v>
      </c>
      <c r="O86" s="78">
        <f t="shared" si="192"/>
        <v>95707.936714399984</v>
      </c>
      <c r="P86" s="78">
        <f t="shared" ref="P86:U86" si="193">P79-P80-P83-P85</f>
        <v>113013.99750912005</v>
      </c>
      <c r="Q86" s="78">
        <f t="shared" si="193"/>
        <v>96263.047013519987</v>
      </c>
      <c r="R86" s="78">
        <f t="shared" si="193"/>
        <v>125341.62480192004</v>
      </c>
      <c r="S86" s="78">
        <f t="shared" si="193"/>
        <v>98666.670983680029</v>
      </c>
      <c r="T86" s="78">
        <f t="shared" si="193"/>
        <v>93489.800003519951</v>
      </c>
      <c r="U86" s="78">
        <f t="shared" si="193"/>
        <v>111936.06566280004</v>
      </c>
      <c r="V86" s="56">
        <f>SUM(D86:F86)</f>
        <v>142020.87079399999</v>
      </c>
      <c r="W86" s="56">
        <f>SUM(G86:I86)</f>
        <v>158610.85191224</v>
      </c>
      <c r="X86" s="56">
        <f>SUM(J86:L86)</f>
        <v>205891.33857768</v>
      </c>
      <c r="Y86" s="56">
        <f>SUM(M86:O86)</f>
        <v>256314.95541415995</v>
      </c>
      <c r="Z86" s="56">
        <f>SUM(P86:R86)</f>
        <v>334618.66932456009</v>
      </c>
      <c r="AA86" s="56">
        <f>SUM(S86:U86)</f>
        <v>304092.53665000002</v>
      </c>
      <c r="AB86" s="61">
        <f>SUM(D86:O86)</f>
        <v>762838.01669807988</v>
      </c>
      <c r="AC86" s="61">
        <f>SUM(D86:U86)</f>
        <v>1401549.2226726401</v>
      </c>
    </row>
    <row r="87" spans="1:37">
      <c r="A87" s="28">
        <v>27</v>
      </c>
      <c r="B87" s="3" t="s">
        <v>27</v>
      </c>
      <c r="C87" s="28"/>
      <c r="D87" s="81">
        <f t="shared" ref="D87:I87" si="194">D86/D75</f>
        <v>69.091471619210083</v>
      </c>
      <c r="E87" s="81">
        <f t="shared" si="194"/>
        <v>68.874468463294122</v>
      </c>
      <c r="F87" s="81">
        <f t="shared" si="194"/>
        <v>68.419322744680841</v>
      </c>
      <c r="G87" s="81">
        <f t="shared" si="194"/>
        <v>63.18710660279298</v>
      </c>
      <c r="H87" s="81">
        <f t="shared" si="194"/>
        <v>50.523593368734048</v>
      </c>
      <c r="I87" s="141">
        <f t="shared" si="194"/>
        <v>67.968331778818595</v>
      </c>
      <c r="J87" s="81">
        <f t="shared" ref="J87:O87" si="195">J86/J75</f>
        <v>66.04763594683233</v>
      </c>
      <c r="K87" s="81">
        <f t="shared" si="195"/>
        <v>66.431601994550832</v>
      </c>
      <c r="L87" s="81">
        <f t="shared" si="195"/>
        <v>70.295215632105268</v>
      </c>
      <c r="M87" s="81">
        <f t="shared" si="195"/>
        <v>67.190505858637977</v>
      </c>
      <c r="N87" s="81">
        <f t="shared" si="195"/>
        <v>69.442347251841028</v>
      </c>
      <c r="O87" s="81">
        <f t="shared" si="195"/>
        <v>74.480884602645901</v>
      </c>
      <c r="P87" s="81">
        <f t="shared" ref="P87:U87" si="196">P86/P75</f>
        <v>83.037470616546685</v>
      </c>
      <c r="Q87" s="81">
        <f t="shared" si="196"/>
        <v>59.716530405409422</v>
      </c>
      <c r="R87" s="81">
        <f t="shared" si="196"/>
        <v>66.2482160686681</v>
      </c>
      <c r="S87" s="81">
        <f t="shared" si="196"/>
        <v>51.469311937235275</v>
      </c>
      <c r="T87" s="81">
        <f t="shared" si="196"/>
        <v>47.992710474086216</v>
      </c>
      <c r="U87" s="81">
        <f t="shared" si="196"/>
        <v>55.413893892475272</v>
      </c>
      <c r="V87" s="63">
        <f>V86/V75</f>
        <v>68.775240093946721</v>
      </c>
      <c r="W87" s="63">
        <f>W86/W75</f>
        <v>60.747166569222522</v>
      </c>
      <c r="X87" s="63">
        <f t="shared" ref="X87:Y87" si="197">X86/X75</f>
        <v>67.660643633808746</v>
      </c>
      <c r="Y87" s="63">
        <f t="shared" si="197"/>
        <v>70.532458837138122</v>
      </c>
      <c r="Z87" s="63">
        <f t="shared" ref="Z87:AA87" si="198">Z86/Z75</f>
        <v>68.780815894051401</v>
      </c>
      <c r="AA87" s="63">
        <f t="shared" si="198"/>
        <v>51.672478615123197</v>
      </c>
      <c r="AB87" s="63">
        <f>AB86/AB75</f>
        <v>67.1926377783916</v>
      </c>
      <c r="AC87" s="63">
        <f>AC86/AC75</f>
        <v>63.409909183035793</v>
      </c>
    </row>
    <row r="88" spans="1:37">
      <c r="A88" s="28">
        <v>28</v>
      </c>
      <c r="B88" s="13" t="str">
        <f>B43</f>
        <v>New Customer Deferral - Surcharge (Rebate)</v>
      </c>
      <c r="C88" s="28" t="str">
        <f>C43</f>
        <v>(7) - (26)</v>
      </c>
      <c r="D88" s="78">
        <f t="shared" ref="D88:I88" si="199">D77-D86</f>
        <v>27192.644154894515</v>
      </c>
      <c r="E88" s="78">
        <f t="shared" si="199"/>
        <v>30134.521324823436</v>
      </c>
      <c r="F88" s="78">
        <f t="shared" si="199"/>
        <v>28126.176226905052</v>
      </c>
      <c r="G88" s="78">
        <f t="shared" si="199"/>
        <v>29252.232674741434</v>
      </c>
      <c r="H88" s="78">
        <f t="shared" si="199"/>
        <v>40731.444339830341</v>
      </c>
      <c r="I88" s="94">
        <f t="shared" si="199"/>
        <v>32087.32540139401</v>
      </c>
      <c r="J88" s="78">
        <f t="shared" ref="J88:O88" si="200">J77-J86</f>
        <v>47917.00623208475</v>
      </c>
      <c r="K88" s="78">
        <f t="shared" si="200"/>
        <v>41488.217518013684</v>
      </c>
      <c r="L88" s="78">
        <f t="shared" si="200"/>
        <v>32388.78612059186</v>
      </c>
      <c r="M88" s="78">
        <f t="shared" si="200"/>
        <v>42129.311740020319</v>
      </c>
      <c r="N88" s="78">
        <f t="shared" si="200"/>
        <v>49087.601560849405</v>
      </c>
      <c r="O88" s="78">
        <f t="shared" si="200"/>
        <v>53355.143385781965</v>
      </c>
      <c r="P88" s="78">
        <f t="shared" ref="P88:U88" si="201">P77-P86</f>
        <v>39485.828215827743</v>
      </c>
      <c r="Q88" s="78">
        <f t="shared" si="201"/>
        <v>86199.137878156253</v>
      </c>
      <c r="R88" s="78">
        <f t="shared" si="201"/>
        <v>74871.996359346391</v>
      </c>
      <c r="S88" s="78">
        <f t="shared" si="201"/>
        <v>92383.872769733629</v>
      </c>
      <c r="T88" s="78">
        <f t="shared" si="201"/>
        <v>97084.461358436587</v>
      </c>
      <c r="U88" s="78">
        <f t="shared" si="201"/>
        <v>105690.85165152734</v>
      </c>
      <c r="V88" s="56">
        <f>SUM(D88:F88)</f>
        <v>85453.341706623003</v>
      </c>
      <c r="W88" s="56">
        <f>SUM(G88:I88)</f>
        <v>102071.00241596578</v>
      </c>
      <c r="X88" s="56">
        <f>SUM(J88:L88)</f>
        <v>121794.00987069029</v>
      </c>
      <c r="Y88" s="56">
        <f>SUM(M88:O88)</f>
        <v>144572.05668665169</v>
      </c>
      <c r="Z88" s="56">
        <f>SUM(P88:R88)</f>
        <v>200556.9624533304</v>
      </c>
      <c r="AA88" s="56">
        <f>SUM(S88:U88)</f>
        <v>295159.18577969755</v>
      </c>
      <c r="AB88" s="61">
        <f>SUM(D88:O88)</f>
        <v>453890.4106799307</v>
      </c>
      <c r="AC88" s="61">
        <f>SUM(D88:U88)</f>
        <v>949606.55891295872</v>
      </c>
    </row>
    <row r="89" spans="1:37" ht="7.15" customHeight="1">
      <c r="A89" s="28"/>
      <c r="B89" s="13"/>
      <c r="C89" s="28"/>
      <c r="D89" s="78"/>
      <c r="E89" s="78"/>
      <c r="F89" s="78"/>
      <c r="G89" s="78"/>
      <c r="H89" s="78"/>
      <c r="I89" s="94"/>
      <c r="J89" s="78"/>
      <c r="K89" s="78"/>
      <c r="L89" s="78"/>
      <c r="M89" s="78"/>
      <c r="N89" s="78"/>
      <c r="O89" s="78"/>
      <c r="P89" s="78"/>
      <c r="Q89" s="78"/>
      <c r="R89" s="78"/>
      <c r="S89" s="78"/>
      <c r="T89" s="78"/>
      <c r="U89" s="78"/>
      <c r="V89" s="31"/>
      <c r="W89" s="31"/>
      <c r="X89" s="31"/>
      <c r="Y89" s="31"/>
      <c r="AB89" s="31"/>
    </row>
    <row r="90" spans="1:37">
      <c r="A90" s="83">
        <v>29</v>
      </c>
      <c r="B90" s="84" t="s">
        <v>100</v>
      </c>
      <c r="C90" s="83" t="str">
        <f>C45</f>
        <v>(15) + (28)</v>
      </c>
      <c r="D90" s="85">
        <f t="shared" ref="D90:O90" si="202">D72+D88</f>
        <v>405572.61013748252</v>
      </c>
      <c r="E90" s="85">
        <f t="shared" si="202"/>
        <v>246936.66778434051</v>
      </c>
      <c r="F90" s="85">
        <f t="shared" si="202"/>
        <v>78632.949848187593</v>
      </c>
      <c r="G90" s="85">
        <f t="shared" si="202"/>
        <v>461649.46664487408</v>
      </c>
      <c r="H90" s="85">
        <f t="shared" si="202"/>
        <v>400865.99797746341</v>
      </c>
      <c r="I90" s="143">
        <f t="shared" si="202"/>
        <v>228452.96823602854</v>
      </c>
      <c r="J90" s="85">
        <f t="shared" si="202"/>
        <v>-86036.839413373687</v>
      </c>
      <c r="K90" s="85">
        <f t="shared" si="202"/>
        <v>-6090.733508596415</v>
      </c>
      <c r="L90" s="85">
        <f t="shared" si="202"/>
        <v>-234807.50582007301</v>
      </c>
      <c r="M90" s="85">
        <f t="shared" si="202"/>
        <v>262344.09574453998</v>
      </c>
      <c r="N90" s="85">
        <f t="shared" si="202"/>
        <v>167172.01940413628</v>
      </c>
      <c r="O90" s="85">
        <f t="shared" si="202"/>
        <v>361772.8929628153</v>
      </c>
      <c r="P90" s="85">
        <f t="shared" ref="P90:U90" si="203">P72+P88</f>
        <v>606519.73283790844</v>
      </c>
      <c r="Q90" s="85">
        <f t="shared" si="203"/>
        <v>393661.1477038255</v>
      </c>
      <c r="R90" s="85">
        <f t="shared" si="203"/>
        <v>-274256.99080470955</v>
      </c>
      <c r="S90" s="85">
        <f t="shared" si="203"/>
        <v>160117.4982934694</v>
      </c>
      <c r="T90" s="85">
        <f t="shared" si="203"/>
        <v>-394221.51087407744</v>
      </c>
      <c r="U90" s="85">
        <f t="shared" si="203"/>
        <v>-797142.00285157899</v>
      </c>
      <c r="V90" s="85">
        <f t="shared" ref="V90:V91" si="204">SUM(D90:F90)</f>
        <v>731142.22777001071</v>
      </c>
      <c r="W90" s="85">
        <f t="shared" ref="W90:W91" si="205">SUM(G90:I90)</f>
        <v>1090968.4328583661</v>
      </c>
      <c r="X90" s="85">
        <f t="shared" ref="X90:X91" si="206">SUM(J90:L90)</f>
        <v>-326935.07874204312</v>
      </c>
      <c r="Y90" s="85">
        <f t="shared" ref="Y90:Y91" si="207">SUM(M90:O90)</f>
        <v>791289.00811149157</v>
      </c>
      <c r="Z90" s="85">
        <f>SUM(P90:R90)</f>
        <v>725923.88973702444</v>
      </c>
      <c r="AA90" s="85">
        <f>SUM(S90:U90)</f>
        <v>-1031246.015432187</v>
      </c>
      <c r="AB90" s="85">
        <f>SUM(D90:O90)</f>
        <v>2286464.5899978252</v>
      </c>
      <c r="AC90" s="85">
        <f>SUM(D90:U90)</f>
        <v>1981142.4643026623</v>
      </c>
      <c r="AE90" s="109"/>
      <c r="AF90" s="109"/>
      <c r="AG90" s="109"/>
      <c r="AH90" s="109"/>
      <c r="AI90" s="109"/>
      <c r="AJ90" s="109"/>
      <c r="AK90" s="109"/>
    </row>
    <row r="91" spans="1:37">
      <c r="A91" s="83">
        <v>30</v>
      </c>
      <c r="B91" s="84" t="str">
        <f>B46</f>
        <v>Deferral - Revenue Related Expenses</v>
      </c>
      <c r="C91" s="83" t="str">
        <f>C46</f>
        <v>Rev Conv Factor</v>
      </c>
      <c r="D91" s="85">
        <f t="shared" ref="D91:O91" si="208">D90*-0.005451</f>
        <v>-2210.7762978594174</v>
      </c>
      <c r="E91" s="85">
        <f t="shared" si="208"/>
        <v>-1346.0517760924402</v>
      </c>
      <c r="F91" s="85">
        <f t="shared" si="208"/>
        <v>-428.62820962247059</v>
      </c>
      <c r="G91" s="85">
        <f t="shared" si="208"/>
        <v>-2516.4512426812084</v>
      </c>
      <c r="H91" s="85">
        <f t="shared" si="208"/>
        <v>-2185.120554975153</v>
      </c>
      <c r="I91" s="143">
        <f t="shared" si="208"/>
        <v>-1245.2971298545915</v>
      </c>
      <c r="J91" s="85">
        <f t="shared" si="208"/>
        <v>468.98681164229998</v>
      </c>
      <c r="K91" s="85">
        <f t="shared" si="208"/>
        <v>33.200588355359059</v>
      </c>
      <c r="L91" s="85">
        <f t="shared" si="208"/>
        <v>1279.9357142252179</v>
      </c>
      <c r="M91" s="85">
        <f t="shared" si="208"/>
        <v>-1430.0376659034876</v>
      </c>
      <c r="N91" s="85">
        <f t="shared" si="208"/>
        <v>-911.25467777194694</v>
      </c>
      <c r="O91" s="85">
        <f t="shared" si="208"/>
        <v>-1972.0240395403061</v>
      </c>
      <c r="P91" s="85">
        <f t="shared" ref="P91:U91" si="209">P90*-0.005451</f>
        <v>-3306.1390636994388</v>
      </c>
      <c r="Q91" s="85">
        <f t="shared" si="209"/>
        <v>-2145.8469161335529</v>
      </c>
      <c r="R91" s="85">
        <f t="shared" si="209"/>
        <v>1494.9748568764719</v>
      </c>
      <c r="S91" s="85">
        <f t="shared" si="209"/>
        <v>-872.80048319770174</v>
      </c>
      <c r="T91" s="85">
        <f t="shared" si="209"/>
        <v>2148.9014557745963</v>
      </c>
      <c r="U91" s="85">
        <f t="shared" si="209"/>
        <v>4345.2210575439576</v>
      </c>
      <c r="V91" s="85">
        <f t="shared" si="204"/>
        <v>-3985.4562835743282</v>
      </c>
      <c r="W91" s="85">
        <f t="shared" si="205"/>
        <v>-5946.8689275109527</v>
      </c>
      <c r="X91" s="85">
        <f t="shared" si="206"/>
        <v>1782.1231142228769</v>
      </c>
      <c r="Y91" s="85">
        <f t="shared" si="207"/>
        <v>-4313.3163832157406</v>
      </c>
      <c r="Z91" s="85">
        <f>SUM(P91:R91)</f>
        <v>-3957.01112295652</v>
      </c>
      <c r="AA91" s="85">
        <f>SUM(S91:U91)</f>
        <v>5621.3220301208521</v>
      </c>
      <c r="AB91" s="85">
        <f>SUM(D91:O91)</f>
        <v>-12463.518480078143</v>
      </c>
      <c r="AC91" s="85">
        <f>SUM(D91:U91)</f>
        <v>-10799.207572913809</v>
      </c>
    </row>
    <row r="92" spans="1:37">
      <c r="A92" s="28">
        <v>31</v>
      </c>
      <c r="B92" s="13"/>
      <c r="C92" s="3" t="str">
        <f>C47</f>
        <v>Customer Deposit Rate</v>
      </c>
      <c r="D92" s="88">
        <f>D47</f>
        <v>0.02</v>
      </c>
      <c r="E92" s="88">
        <f t="shared" ref="E92:O92" si="210">E47</f>
        <v>0.02</v>
      </c>
      <c r="F92" s="88">
        <f t="shared" si="210"/>
        <v>0.02</v>
      </c>
      <c r="G92" s="88">
        <f t="shared" si="210"/>
        <v>0.02</v>
      </c>
      <c r="H92" s="88">
        <f t="shared" si="210"/>
        <v>0.02</v>
      </c>
      <c r="I92" s="88">
        <f t="shared" si="210"/>
        <v>0.02</v>
      </c>
      <c r="J92" s="88">
        <f t="shared" si="210"/>
        <v>0.02</v>
      </c>
      <c r="K92" s="88">
        <f t="shared" si="210"/>
        <v>0.02</v>
      </c>
      <c r="L92" s="88">
        <f t="shared" si="210"/>
        <v>0.02</v>
      </c>
      <c r="M92" s="88">
        <f t="shared" si="210"/>
        <v>0.02</v>
      </c>
      <c r="N92" s="88">
        <f t="shared" si="210"/>
        <v>0.02</v>
      </c>
      <c r="O92" s="88">
        <f t="shared" si="210"/>
        <v>0.02</v>
      </c>
      <c r="P92" s="88">
        <f t="shared" ref="P92:U92" si="211">P47</f>
        <v>0.01</v>
      </c>
      <c r="Q92" s="88">
        <f t="shared" si="211"/>
        <v>0.01</v>
      </c>
      <c r="R92" s="88">
        <f t="shared" si="211"/>
        <v>0.01</v>
      </c>
      <c r="S92" s="88">
        <f t="shared" si="211"/>
        <v>0.01</v>
      </c>
      <c r="T92" s="88">
        <f t="shared" si="211"/>
        <v>0.01</v>
      </c>
      <c r="U92" s="88">
        <f t="shared" si="211"/>
        <v>0.01</v>
      </c>
      <c r="V92" s="31"/>
      <c r="W92" s="31"/>
      <c r="X92" s="31"/>
      <c r="Y92" s="31"/>
      <c r="AB92" s="31"/>
    </row>
    <row r="93" spans="1:37">
      <c r="A93" s="83">
        <v>32</v>
      </c>
      <c r="B93" s="84" t="str">
        <f>B48</f>
        <v>Interest on Deferral</v>
      </c>
      <c r="C93" s="83" t="str">
        <f>C48</f>
        <v>Avg Balance Calc</v>
      </c>
      <c r="D93" s="89">
        <f>(D90+D91)/2*D92/12</f>
        <v>336.13486153301926</v>
      </c>
      <c r="E93" s="89">
        <f>(D96+(E90+E91)/2)*E92/12</f>
        <v>877.48879450880031</v>
      </c>
      <c r="F93" s="89">
        <f t="shared" ref="F93" si="212">(E96+(F90+F91)/2)*F92/12</f>
        <v>1148.7803905386593</v>
      </c>
      <c r="G93" s="89">
        <f t="shared" ref="G93" si="213">(F96+(G90+G91)/2)*G92/12</f>
        <v>1598.4761387235221</v>
      </c>
      <c r="H93" s="89">
        <f t="shared" ref="H93" si="214">(G96+(H90+H91)/2)*H92/12</f>
        <v>2315.9851763086294</v>
      </c>
      <c r="I93" s="144">
        <f t="shared" ref="I93" si="215">(H96+(I90+I91)/2)*I92/12</f>
        <v>2841.4189420430289</v>
      </c>
      <c r="J93" s="89">
        <f t="shared" ref="J93:P93" si="216">(I96+(J90+J91)/2)*J92/12</f>
        <v>2964.1878223668027</v>
      </c>
      <c r="K93" s="89">
        <f t="shared" si="216"/>
        <v>2892.7736474691033</v>
      </c>
      <c r="L93" s="89">
        <f t="shared" si="216"/>
        <v>2697.9406843598113</v>
      </c>
      <c r="M93" s="89">
        <f t="shared" si="216"/>
        <v>2725.2593254777348</v>
      </c>
      <c r="N93" s="89">
        <f>(M96+(N90+N91)/2)*N92/12</f>
        <v>3085.7804433576985</v>
      </c>
      <c r="O93" s="89">
        <f t="shared" si="216"/>
        <v>3529.3081054713275</v>
      </c>
      <c r="P93" s="89">
        <f t="shared" si="216"/>
        <v>2168.8511689475081</v>
      </c>
      <c r="Q93" s="89">
        <f t="shared" ref="Q93:R93" si="217">(P96+(Q90+Q91)/2)*Q92/12</f>
        <v>2585.1289176557561</v>
      </c>
      <c r="R93" s="89">
        <f t="shared" si="217"/>
        <v>2636.7637271037443</v>
      </c>
      <c r="S93" s="89">
        <f t="shared" ref="S93:T93" si="218">(R96+(S90+S91)/2)*S92/12</f>
        <v>2591.6621476523464</v>
      </c>
      <c r="T93" s="89">
        <f t="shared" si="218"/>
        <v>2496.8102362720433</v>
      </c>
      <c r="U93" s="89">
        <f t="shared" ref="U93" si="219">(T96+(U90+U91)/2)*U92/12</f>
        <v>2005.1953317971293</v>
      </c>
      <c r="V93" s="89">
        <f>SUM(D93:F93)</f>
        <v>2362.4040465804792</v>
      </c>
      <c r="W93" s="89">
        <f>SUM(G93:I93)</f>
        <v>6755.8802570751805</v>
      </c>
      <c r="X93" s="89">
        <f>SUM(J93:L93)</f>
        <v>8554.9021541957172</v>
      </c>
      <c r="Y93" s="89">
        <f>SUM(M93:O93)</f>
        <v>9340.3478743067608</v>
      </c>
      <c r="Z93" s="89">
        <f>SUM(P93:R93)</f>
        <v>7390.7438137070076</v>
      </c>
      <c r="AA93" s="89">
        <f>SUM(S93:U93)</f>
        <v>7093.667715721519</v>
      </c>
      <c r="AB93" s="89">
        <f>SUM(D93:O93)</f>
        <v>27013.534332158131</v>
      </c>
      <c r="AC93" s="89">
        <f>SUM(D93:U93)</f>
        <v>41497.945861586653</v>
      </c>
    </row>
    <row r="94" spans="1:37">
      <c r="A94" s="90">
        <v>33</v>
      </c>
      <c r="B94" s="91" t="s">
        <v>29</v>
      </c>
      <c r="C94" s="90"/>
      <c r="D94" s="93">
        <f t="shared" ref="D94:I94" si="220">D90+D91+D93</f>
        <v>403697.96870115609</v>
      </c>
      <c r="E94" s="93">
        <f t="shared" si="220"/>
        <v>246468.10480275686</v>
      </c>
      <c r="F94" s="93">
        <f t="shared" si="220"/>
        <v>79353.102029103771</v>
      </c>
      <c r="G94" s="93">
        <f t="shared" si="220"/>
        <v>460731.49154091644</v>
      </c>
      <c r="H94" s="93">
        <f t="shared" si="220"/>
        <v>400996.86259879684</v>
      </c>
      <c r="I94" s="150">
        <f t="shared" si="220"/>
        <v>230049.09004821698</v>
      </c>
      <c r="J94" s="93">
        <f t="shared" ref="J94:O94" si="221">J90+J91+J93</f>
        <v>-82603.664779364583</v>
      </c>
      <c r="K94" s="93">
        <f t="shared" si="221"/>
        <v>-3164.7592727719525</v>
      </c>
      <c r="L94" s="93">
        <f>L90+L91+L93</f>
        <v>-230829.62942148797</v>
      </c>
      <c r="M94" s="93">
        <f t="shared" si="221"/>
        <v>263639.31740411423</v>
      </c>
      <c r="N94" s="93">
        <f t="shared" si="221"/>
        <v>169346.54516972206</v>
      </c>
      <c r="O94" s="93">
        <f t="shared" si="221"/>
        <v>363330.17702874629</v>
      </c>
      <c r="P94" s="93">
        <f t="shared" ref="P94:U94" si="222">P90+P91+P93</f>
        <v>605382.44494315656</v>
      </c>
      <c r="Q94" s="93">
        <f t="shared" si="222"/>
        <v>394100.42970534769</v>
      </c>
      <c r="R94" s="93">
        <f t="shared" si="222"/>
        <v>-270125.25222072931</v>
      </c>
      <c r="S94" s="93">
        <f t="shared" si="222"/>
        <v>161836.35995792405</v>
      </c>
      <c r="T94" s="93">
        <f t="shared" si="222"/>
        <v>-389575.79918203078</v>
      </c>
      <c r="U94" s="93">
        <f t="shared" si="222"/>
        <v>-790791.58646223787</v>
      </c>
      <c r="V94" s="93">
        <f>V90+V91+V93</f>
        <v>729519.17553301679</v>
      </c>
      <c r="W94" s="93">
        <f t="shared" ref="W94" si="223">W90+W91+W93</f>
        <v>1091777.4441879303</v>
      </c>
      <c r="X94" s="93">
        <f t="shared" ref="X94" si="224">X90+X91+X93</f>
        <v>-316598.05347362452</v>
      </c>
      <c r="Y94" s="93">
        <f t="shared" ref="Y94" si="225">Y90+Y91+Y93</f>
        <v>796316.03960258258</v>
      </c>
      <c r="Z94" s="93">
        <f>Z90+Z91+Z93</f>
        <v>729357.62242777494</v>
      </c>
      <c r="AA94" s="93">
        <f>AA90+AA91+AA93</f>
        <v>-1018531.0256863446</v>
      </c>
      <c r="AB94" s="93">
        <f>AB90+AB91+AB93</f>
        <v>2301014.6058499049</v>
      </c>
      <c r="AC94" s="93">
        <f>AC90+AC91+AC93</f>
        <v>2011841.2025913352</v>
      </c>
    </row>
    <row r="95" spans="1:37" ht="7.15" customHeight="1">
      <c r="A95" s="28"/>
      <c r="B95" s="13"/>
      <c r="C95" s="28"/>
      <c r="D95" s="79"/>
      <c r="E95" s="79"/>
      <c r="F95" s="79"/>
      <c r="G95" s="79"/>
      <c r="H95" s="79"/>
      <c r="I95" s="139"/>
      <c r="J95" s="79"/>
      <c r="K95" s="79"/>
      <c r="L95" s="79"/>
      <c r="M95" s="79"/>
      <c r="N95" s="79"/>
      <c r="O95" s="79"/>
      <c r="P95" s="79"/>
      <c r="Q95" s="79"/>
      <c r="R95" s="79"/>
      <c r="S95" s="79"/>
      <c r="T95" s="79"/>
      <c r="U95" s="79"/>
    </row>
    <row r="96" spans="1:37" ht="26.5">
      <c r="A96" s="75">
        <v>34</v>
      </c>
      <c r="B96" s="98" t="s">
        <v>101</v>
      </c>
      <c r="C96" s="75" t="str">
        <f>C51</f>
        <v>Σ((29), (30), (32))</v>
      </c>
      <c r="D96" s="99">
        <f>D90+D91+D93</f>
        <v>403697.96870115609</v>
      </c>
      <c r="E96" s="99">
        <f t="shared" ref="E96:F96" si="226">D96+E90+E91+E93</f>
        <v>650166.07350391301</v>
      </c>
      <c r="F96" s="99">
        <f t="shared" si="226"/>
        <v>729519.17553301679</v>
      </c>
      <c r="G96" s="99">
        <f>F96+G90+G91+G93</f>
        <v>1190250.6670739334</v>
      </c>
      <c r="H96" s="99">
        <f t="shared" ref="H96:M96" si="227">G96+H90+H91+H93</f>
        <v>1591247.5296727302</v>
      </c>
      <c r="I96" s="148">
        <f t="shared" si="227"/>
        <v>1821296.6197209472</v>
      </c>
      <c r="J96" s="99">
        <f t="shared" si="227"/>
        <v>1738692.9549415826</v>
      </c>
      <c r="K96" s="99">
        <f t="shared" si="227"/>
        <v>1735528.1956688105</v>
      </c>
      <c r="L96" s="99">
        <f t="shared" si="227"/>
        <v>1504698.5662473226</v>
      </c>
      <c r="M96" s="99">
        <f t="shared" si="227"/>
        <v>1768337.8836514368</v>
      </c>
      <c r="N96" s="99">
        <f>M96+N90+N91+N93</f>
        <v>1937684.4288211588</v>
      </c>
      <c r="O96" s="99">
        <f>N96+O90+O91+O93</f>
        <v>2301014.6058499054</v>
      </c>
      <c r="P96" s="99">
        <f t="shared" ref="P96:U96" si="228">O96+P90+P91+P93</f>
        <v>2906397.0507930615</v>
      </c>
      <c r="Q96" s="99">
        <f t="shared" si="228"/>
        <v>3300497.4804984094</v>
      </c>
      <c r="R96" s="99">
        <f t="shared" si="228"/>
        <v>3030372.22827768</v>
      </c>
      <c r="S96" s="99">
        <f t="shared" si="228"/>
        <v>3192208.5882356036</v>
      </c>
      <c r="T96" s="99">
        <f t="shared" si="228"/>
        <v>2802632.7890535723</v>
      </c>
      <c r="U96" s="99">
        <f t="shared" si="228"/>
        <v>2011841.2025913347</v>
      </c>
    </row>
    <row r="97" spans="1:21" ht="9" customHeight="1">
      <c r="A97" s="28"/>
      <c r="B97" s="13"/>
      <c r="C97" s="13"/>
      <c r="D97" s="3"/>
      <c r="E97" s="3"/>
      <c r="F97" s="3"/>
      <c r="G97" s="3"/>
      <c r="H97" s="3"/>
      <c r="I97" s="137"/>
      <c r="J97" s="3"/>
      <c r="K97" s="3"/>
      <c r="L97" s="3"/>
      <c r="M97" s="3"/>
      <c r="N97" s="3"/>
      <c r="O97" s="3"/>
      <c r="P97" s="3"/>
      <c r="Q97" s="3"/>
      <c r="R97" s="3"/>
      <c r="S97" s="3"/>
      <c r="T97" s="3"/>
      <c r="U97" s="3"/>
    </row>
    <row r="98" spans="1:21" ht="26.5">
      <c r="A98" s="75">
        <v>35</v>
      </c>
      <c r="B98" s="100" t="s">
        <v>102</v>
      </c>
      <c r="C98" s="64" t="str">
        <f>"Res line("&amp;A$51&amp;") +Non-Res line ("&amp;A96&amp;")"</f>
        <v>Res line(34) +Non-Res line (34)</v>
      </c>
      <c r="D98" s="101">
        <f t="shared" ref="D98:O98" si="229">D51+D96</f>
        <v>1056762.2402209416</v>
      </c>
      <c r="E98" s="101">
        <f t="shared" si="229"/>
        <v>968136.67363608978</v>
      </c>
      <c r="F98" s="101">
        <f t="shared" si="229"/>
        <v>1504161.9452999178</v>
      </c>
      <c r="G98" s="101">
        <f t="shared" si="229"/>
        <v>1468465.0237891804</v>
      </c>
      <c r="H98" s="101">
        <f t="shared" si="229"/>
        <v>1632891.6702113249</v>
      </c>
      <c r="I98" s="151">
        <f t="shared" si="229"/>
        <v>1589462.7232817197</v>
      </c>
      <c r="J98" s="101">
        <f t="shared" si="229"/>
        <v>1323605.6052681399</v>
      </c>
      <c r="K98" s="101">
        <f t="shared" si="229"/>
        <v>976916.36562758416</v>
      </c>
      <c r="L98" s="101">
        <f t="shared" si="229"/>
        <v>451496.26914741704</v>
      </c>
      <c r="M98" s="101">
        <f t="shared" si="229"/>
        <v>632499.26693147956</v>
      </c>
      <c r="N98" s="101">
        <f t="shared" si="229"/>
        <v>440650.59284706507</v>
      </c>
      <c r="O98" s="101">
        <f t="shared" si="229"/>
        <v>1287540.0554654594</v>
      </c>
      <c r="P98" s="101">
        <f t="shared" ref="P98:U98" si="230">P51+P96</f>
        <v>2790118.9191863793</v>
      </c>
      <c r="Q98" s="101">
        <f t="shared" si="230"/>
        <v>2311507.839258661</v>
      </c>
      <c r="R98" s="101">
        <f t="shared" si="230"/>
        <v>2569734.9799875836</v>
      </c>
      <c r="S98" s="101">
        <f t="shared" si="230"/>
        <v>2827279.71833011</v>
      </c>
      <c r="T98" s="101">
        <f t="shared" si="230"/>
        <v>2001349.7577261797</v>
      </c>
      <c r="U98" s="101">
        <f t="shared" si="230"/>
        <v>-248855.93259460782</v>
      </c>
    </row>
    <row r="99" spans="1:21">
      <c r="B99" s="224" t="s">
        <v>167</v>
      </c>
      <c r="C99" s="224"/>
      <c r="D99" s="216"/>
      <c r="E99" s="216"/>
      <c r="F99" s="113"/>
      <c r="G99" s="113"/>
      <c r="H99" s="113"/>
      <c r="I99" s="113"/>
      <c r="J99" s="113"/>
      <c r="K99" s="113"/>
      <c r="L99" s="113"/>
      <c r="M99" s="113"/>
      <c r="N99" s="113"/>
      <c r="O99" s="113"/>
      <c r="P99" s="113"/>
      <c r="Q99" s="113"/>
      <c r="R99" s="113"/>
      <c r="S99" s="113"/>
      <c r="T99" s="113"/>
      <c r="U99" s="113"/>
    </row>
  </sheetData>
  <mergeCells count="2">
    <mergeCell ref="A5:A6"/>
    <mergeCell ref="D99:E99"/>
  </mergeCells>
  <printOptions horizontalCentered="1"/>
  <pageMargins left="0.7" right="0.55000000000000004" top="0.81" bottom="0.47" header="0.39" footer="0.3"/>
  <pageSetup scale="61" fitToHeight="2" orientation="landscape" r:id="rId1"/>
  <headerFooter scaleWithDoc="0">
    <oddHeader>&amp;C&amp;8Avista Corporation Fixed Cost Adjustment Mechanism
Idaho Jurisdiction
Quarterly Report for 2nd Quarter 2021</oddHeader>
    <oddFooter>&amp;C&amp;F / &amp;A&amp;RPage &amp;P of 9</oddFooter>
  </headerFooter>
  <rowBreaks count="1" manualBreakCount="1">
    <brk id="5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796875" defaultRowHeight="14.5"/>
  <cols>
    <col min="1" max="16384" width="9.1796875" style="11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101"/>
  <sheetViews>
    <sheetView zoomScaleNormal="100" zoomScaleSheetLayoutView="95" workbookViewId="0">
      <selection activeCell="C111" sqref="C111"/>
    </sheetView>
  </sheetViews>
  <sheetFormatPr defaultRowHeight="14.5"/>
  <cols>
    <col min="1" max="1" width="5" customWidth="1"/>
    <col min="2" max="2" width="41.1796875" bestFit="1" customWidth="1"/>
    <col min="3" max="3" width="18" bestFit="1" customWidth="1"/>
    <col min="4" max="9" width="10.26953125" hidden="1" customWidth="1"/>
    <col min="10" max="12" width="10.453125" hidden="1" customWidth="1"/>
    <col min="13" max="13" width="11" hidden="1" customWidth="1"/>
    <col min="14" max="14" width="10.453125" hidden="1" customWidth="1"/>
    <col min="15" max="15" width="11.54296875" hidden="1" customWidth="1"/>
    <col min="16" max="18" width="11.54296875" style="31" hidden="1" customWidth="1"/>
    <col min="19" max="21" width="11.54296875" style="31" customWidth="1"/>
    <col min="22" max="23" width="11.26953125" hidden="1" customWidth="1"/>
    <col min="24" max="24" width="11" hidden="1" customWidth="1"/>
    <col min="25" max="25" width="11.26953125" hidden="1" customWidth="1"/>
    <col min="26" max="26" width="11.54296875" style="31" hidden="1" customWidth="1"/>
    <col min="27" max="27" width="11.26953125" style="31" customWidth="1"/>
    <col min="28" max="28" width="11.26953125" hidden="1" customWidth="1"/>
    <col min="29" max="29" width="11.90625" customWidth="1"/>
    <col min="30" max="31" width="12.26953125" bestFit="1" customWidth="1"/>
    <col min="32" max="32" width="11.54296875" customWidth="1"/>
    <col min="33" max="33" width="10.7265625" bestFit="1" customWidth="1"/>
    <col min="34" max="34" width="9.7265625" bestFit="1" customWidth="1"/>
    <col min="35" max="35" width="10" bestFit="1" customWidth="1"/>
    <col min="36" max="36" width="9.7265625" bestFit="1" customWidth="1"/>
  </cols>
  <sheetData>
    <row r="1" spans="1:31" ht="15.5">
      <c r="A1" s="65" t="s">
        <v>0</v>
      </c>
      <c r="B1" s="65"/>
      <c r="C1" s="65"/>
      <c r="D1" s="65"/>
      <c r="E1" s="65"/>
      <c r="F1" s="65"/>
      <c r="G1" s="65"/>
      <c r="H1" s="65"/>
      <c r="I1" s="65"/>
      <c r="J1" s="65"/>
      <c r="K1" s="65"/>
      <c r="L1" s="65"/>
      <c r="M1" s="65"/>
      <c r="N1" s="65"/>
      <c r="O1" s="65"/>
      <c r="P1" s="65"/>
      <c r="Q1" s="65"/>
      <c r="R1" s="65"/>
      <c r="S1" s="65"/>
      <c r="T1" s="65"/>
      <c r="U1" s="65"/>
    </row>
    <row r="2" spans="1:31" ht="15.5">
      <c r="A2" s="65" t="s">
        <v>103</v>
      </c>
      <c r="B2" s="65"/>
      <c r="C2" s="65"/>
      <c r="D2" s="65"/>
      <c r="E2" s="65"/>
      <c r="F2" s="65"/>
      <c r="G2" s="65"/>
      <c r="H2" s="65"/>
      <c r="I2" s="65"/>
      <c r="J2" s="65"/>
      <c r="K2" s="65"/>
      <c r="L2" s="65"/>
      <c r="M2" s="65"/>
      <c r="N2" s="65"/>
      <c r="O2" s="65"/>
      <c r="P2" s="65"/>
      <c r="Q2" s="65"/>
      <c r="R2" s="65"/>
      <c r="S2" s="65"/>
      <c r="T2" s="65"/>
      <c r="U2" s="65"/>
    </row>
    <row r="3" spans="1:31" ht="15.5">
      <c r="A3" s="66" t="s">
        <v>150</v>
      </c>
      <c r="B3" s="65"/>
      <c r="C3" s="65"/>
      <c r="D3" s="65"/>
      <c r="E3" s="65"/>
      <c r="F3" s="65"/>
      <c r="G3" s="65"/>
      <c r="H3" s="65"/>
      <c r="I3" s="65"/>
      <c r="J3" s="65"/>
      <c r="K3" s="65"/>
      <c r="L3" s="65"/>
      <c r="M3" s="65"/>
      <c r="N3" s="65"/>
      <c r="O3" s="65"/>
      <c r="P3" s="65"/>
      <c r="Q3" s="65"/>
      <c r="R3" s="65"/>
      <c r="S3" s="65"/>
      <c r="T3" s="65"/>
      <c r="U3" s="65"/>
    </row>
    <row r="4" spans="1:31" ht="15.65" customHeight="1">
      <c r="A4" s="65" t="s">
        <v>148</v>
      </c>
      <c r="B4" s="51"/>
      <c r="C4" s="51"/>
      <c r="D4" s="69"/>
      <c r="E4" s="69"/>
      <c r="F4" s="69"/>
      <c r="G4" s="69"/>
      <c r="H4" s="69"/>
      <c r="I4" s="69"/>
      <c r="J4" s="69"/>
      <c r="K4" s="69"/>
      <c r="L4" s="69"/>
      <c r="M4" s="69"/>
      <c r="N4" s="69"/>
      <c r="O4" s="69"/>
      <c r="P4" s="177" t="s">
        <v>160</v>
      </c>
      <c r="Q4" s="69"/>
      <c r="R4" s="69"/>
      <c r="S4" s="69"/>
      <c r="T4" s="69"/>
      <c r="U4" s="69"/>
    </row>
    <row r="5" spans="1:31" ht="28.9" customHeight="1">
      <c r="A5" s="214" t="s">
        <v>1</v>
      </c>
      <c r="B5" s="13"/>
      <c r="C5" s="13"/>
      <c r="D5" s="3"/>
      <c r="E5" s="3"/>
      <c r="F5" s="3"/>
      <c r="G5" s="3"/>
      <c r="H5" s="3"/>
      <c r="I5" s="166" t="s">
        <v>73</v>
      </c>
      <c r="J5" s="3"/>
      <c r="K5" s="3"/>
      <c r="L5" s="3"/>
      <c r="M5" s="3"/>
      <c r="N5" s="3"/>
      <c r="O5" s="3"/>
      <c r="P5" s="170" t="s">
        <v>73</v>
      </c>
      <c r="Q5" s="170" t="s">
        <v>73</v>
      </c>
      <c r="R5" s="170" t="s">
        <v>73</v>
      </c>
      <c r="S5" s="3"/>
      <c r="T5" s="3"/>
      <c r="U5" s="3"/>
      <c r="V5" s="27" t="s">
        <v>151</v>
      </c>
      <c r="W5" s="27" t="s">
        <v>152</v>
      </c>
      <c r="X5" s="27" t="s">
        <v>153</v>
      </c>
      <c r="Y5" s="27" t="s">
        <v>154</v>
      </c>
      <c r="Z5" s="27" t="s">
        <v>155</v>
      </c>
      <c r="AA5" s="27" t="s">
        <v>156</v>
      </c>
      <c r="AB5" s="26">
        <v>2020</v>
      </c>
      <c r="AC5" s="57" t="s">
        <v>164</v>
      </c>
    </row>
    <row r="6" spans="1:31" ht="13.9" customHeight="1">
      <c r="A6" s="215"/>
      <c r="B6" s="53"/>
      <c r="C6" s="50" t="s">
        <v>2</v>
      </c>
      <c r="D6" s="70">
        <v>43831</v>
      </c>
      <c r="E6" s="70">
        <f t="shared" ref="E6:N6" si="0">EDATE(D6,1)</f>
        <v>43862</v>
      </c>
      <c r="F6" s="70">
        <f t="shared" si="0"/>
        <v>43891</v>
      </c>
      <c r="G6" s="70">
        <f t="shared" si="0"/>
        <v>43922</v>
      </c>
      <c r="H6" s="70">
        <f t="shared" si="0"/>
        <v>43952</v>
      </c>
      <c r="I6" s="70">
        <f t="shared" si="0"/>
        <v>43983</v>
      </c>
      <c r="J6" s="70">
        <f t="shared" si="0"/>
        <v>44013</v>
      </c>
      <c r="K6" s="70">
        <f t="shared" si="0"/>
        <v>44044</v>
      </c>
      <c r="L6" s="70">
        <f t="shared" si="0"/>
        <v>44075</v>
      </c>
      <c r="M6" s="70">
        <f t="shared" si="0"/>
        <v>44105</v>
      </c>
      <c r="N6" s="70">
        <f t="shared" si="0"/>
        <v>44136</v>
      </c>
      <c r="O6" s="70">
        <f>EDATE(N6,1)</f>
        <v>44166</v>
      </c>
      <c r="P6" s="70">
        <f t="shared" ref="P6:U6" si="1">EDATE(O6,1)</f>
        <v>44197</v>
      </c>
      <c r="Q6" s="70">
        <f t="shared" si="1"/>
        <v>44228</v>
      </c>
      <c r="R6" s="70">
        <f t="shared" si="1"/>
        <v>44256</v>
      </c>
      <c r="S6" s="70">
        <f t="shared" si="1"/>
        <v>44287</v>
      </c>
      <c r="T6" s="70">
        <f t="shared" si="1"/>
        <v>44317</v>
      </c>
      <c r="U6" s="70">
        <f t="shared" si="1"/>
        <v>44348</v>
      </c>
      <c r="V6" s="54" t="s">
        <v>3</v>
      </c>
      <c r="W6" s="10" t="s">
        <v>3</v>
      </c>
      <c r="X6" s="10" t="s">
        <v>3</v>
      </c>
      <c r="Y6" s="10" t="s">
        <v>3</v>
      </c>
      <c r="Z6" s="10" t="s">
        <v>3</v>
      </c>
      <c r="AA6" s="10" t="s">
        <v>3</v>
      </c>
      <c r="AB6" s="10" t="s">
        <v>3</v>
      </c>
      <c r="AC6" s="175">
        <v>44377</v>
      </c>
    </row>
    <row r="7" spans="1:31">
      <c r="A7" s="28"/>
      <c r="B7" s="28" t="s">
        <v>4</v>
      </c>
      <c r="C7" s="28" t="s">
        <v>5</v>
      </c>
      <c r="D7" s="28" t="s">
        <v>6</v>
      </c>
      <c r="E7" s="28" t="s">
        <v>7</v>
      </c>
      <c r="F7" s="28" t="s">
        <v>8</v>
      </c>
      <c r="G7" s="28" t="s">
        <v>9</v>
      </c>
      <c r="H7" s="28" t="s">
        <v>10</v>
      </c>
      <c r="I7" s="152" t="s">
        <v>11</v>
      </c>
      <c r="J7" s="28" t="s">
        <v>12</v>
      </c>
      <c r="K7" s="28" t="s">
        <v>13</v>
      </c>
      <c r="L7" s="28" t="s">
        <v>14</v>
      </c>
      <c r="M7" s="28" t="s">
        <v>15</v>
      </c>
      <c r="N7" s="28" t="s">
        <v>16</v>
      </c>
      <c r="O7" s="28" t="s">
        <v>17</v>
      </c>
      <c r="P7" s="28"/>
      <c r="Q7" s="28"/>
      <c r="R7" s="28"/>
      <c r="S7" s="28"/>
      <c r="T7" s="28"/>
      <c r="U7" s="28"/>
      <c r="V7" s="28" t="s">
        <v>18</v>
      </c>
      <c r="W7" s="28" t="s">
        <v>109</v>
      </c>
      <c r="X7" s="28" t="s">
        <v>110</v>
      </c>
      <c r="Y7" s="28" t="s">
        <v>111</v>
      </c>
      <c r="Z7" s="28"/>
      <c r="AA7" s="28"/>
      <c r="AB7" s="28" t="s">
        <v>112</v>
      </c>
      <c r="AC7" s="5"/>
    </row>
    <row r="8" spans="1:31">
      <c r="A8" s="28"/>
      <c r="B8" s="1" t="s">
        <v>19</v>
      </c>
      <c r="C8" s="28"/>
      <c r="D8" s="3"/>
      <c r="E8" s="3"/>
      <c r="F8" s="3"/>
      <c r="G8" s="3"/>
      <c r="H8" s="3"/>
      <c r="I8" s="137"/>
      <c r="J8" s="3"/>
      <c r="K8" s="3"/>
      <c r="L8" s="3"/>
      <c r="M8" s="3"/>
      <c r="N8" s="3"/>
      <c r="O8" s="3"/>
      <c r="P8" s="3"/>
      <c r="Q8" s="3"/>
      <c r="R8" s="3"/>
      <c r="S8" s="3"/>
      <c r="T8" s="3"/>
      <c r="U8" s="3"/>
      <c r="AC8" s="5"/>
    </row>
    <row r="9" spans="1:31" ht="6" customHeight="1">
      <c r="A9" s="28"/>
      <c r="B9" s="71"/>
      <c r="C9" s="28"/>
      <c r="D9" s="3"/>
      <c r="E9" s="3"/>
      <c r="F9" s="3"/>
      <c r="G9" s="3"/>
      <c r="H9" s="3"/>
      <c r="I9" s="137"/>
      <c r="J9" s="3"/>
      <c r="K9" s="3"/>
      <c r="L9" s="3"/>
      <c r="M9" s="3"/>
      <c r="N9" s="3"/>
      <c r="O9" s="3"/>
      <c r="P9" s="3"/>
      <c r="Q9" s="3"/>
      <c r="R9" s="3"/>
      <c r="S9" s="3"/>
      <c r="T9" s="3"/>
      <c r="U9" s="3"/>
      <c r="AC9" s="60"/>
    </row>
    <row r="10" spans="1:31">
      <c r="A10" s="28">
        <v>1</v>
      </c>
      <c r="B10" s="13" t="s">
        <v>74</v>
      </c>
      <c r="C10" s="28" t="s">
        <v>75</v>
      </c>
      <c r="D10" s="102">
        <v>85799</v>
      </c>
      <c r="E10" s="102">
        <v>85793</v>
      </c>
      <c r="F10" s="102">
        <v>85933</v>
      </c>
      <c r="G10" s="102">
        <v>86018</v>
      </c>
      <c r="H10" s="102">
        <v>85840</v>
      </c>
      <c r="I10" s="153">
        <v>86412</v>
      </c>
      <c r="J10" s="102">
        <v>86299</v>
      </c>
      <c r="K10" s="102">
        <v>86548</v>
      </c>
      <c r="L10" s="102">
        <v>86813</v>
      </c>
      <c r="M10" s="102">
        <v>86921</v>
      </c>
      <c r="N10" s="102">
        <v>87139</v>
      </c>
      <c r="O10" s="102">
        <v>87688</v>
      </c>
      <c r="P10" s="102">
        <v>87968</v>
      </c>
      <c r="Q10" s="102">
        <v>87968</v>
      </c>
      <c r="R10" s="102">
        <v>87968</v>
      </c>
      <c r="S10" s="102">
        <v>88394</v>
      </c>
      <c r="T10" s="102">
        <v>88356</v>
      </c>
      <c r="U10" s="102">
        <v>88822</v>
      </c>
      <c r="V10" s="29">
        <f>SUM(D10:F10)</f>
        <v>257525</v>
      </c>
      <c r="W10" s="29">
        <f>SUM(G10:I10)</f>
        <v>258270</v>
      </c>
      <c r="X10" s="29">
        <f>SUM(J10:L10)</f>
        <v>259660</v>
      </c>
      <c r="Y10" s="29">
        <f>SUM(M10:O10)</f>
        <v>261748</v>
      </c>
      <c r="Z10" s="29">
        <f>SUM(P10:R10)</f>
        <v>263904</v>
      </c>
      <c r="AA10" s="29">
        <f>SUM(S10:U10)</f>
        <v>265572</v>
      </c>
      <c r="AB10" s="29">
        <f>SUM(D10:O10)</f>
        <v>1037203</v>
      </c>
      <c r="AC10" s="60">
        <f>SUM(D10:U10)</f>
        <v>1566679</v>
      </c>
    </row>
    <row r="11" spans="1:31">
      <c r="A11" s="49">
        <v>2</v>
      </c>
      <c r="B11" s="13" t="s">
        <v>105</v>
      </c>
      <c r="C11" s="28" t="s">
        <v>75</v>
      </c>
      <c r="D11" s="102">
        <v>9871600.4840399995</v>
      </c>
      <c r="E11" s="102">
        <v>9051969.2855500001</v>
      </c>
      <c r="F11" s="102">
        <v>7773497.5673700003</v>
      </c>
      <c r="G11" s="102">
        <v>5024135.6614100002</v>
      </c>
      <c r="H11" s="102">
        <v>2757629.0484000002</v>
      </c>
      <c r="I11" s="153">
        <v>1756364.1373800002</v>
      </c>
      <c r="J11" s="102">
        <v>1394759.5733099999</v>
      </c>
      <c r="K11" s="102">
        <v>1094753.1918800001</v>
      </c>
      <c r="L11" s="102">
        <v>1424908.4676699999</v>
      </c>
      <c r="M11" s="102">
        <v>5103354.2309099995</v>
      </c>
      <c r="N11" s="102">
        <v>8733853.03706</v>
      </c>
      <c r="O11" s="102">
        <v>10204231.749159999</v>
      </c>
      <c r="P11" s="102">
        <v>10486333.114800001</v>
      </c>
      <c r="Q11" s="102">
        <v>10870325.43654</v>
      </c>
      <c r="R11" s="102">
        <v>7153036.4768700004</v>
      </c>
      <c r="S11" s="102">
        <v>4746417.7934699999</v>
      </c>
      <c r="T11" s="102">
        <v>2518275.1715600002</v>
      </c>
      <c r="U11" s="102">
        <v>1493810.75343</v>
      </c>
      <c r="V11" s="29">
        <f>SUM(D11:F11)</f>
        <v>26697067.336959999</v>
      </c>
      <c r="W11" s="29">
        <f>SUM(G11:I11)</f>
        <v>9538128.8471900001</v>
      </c>
      <c r="X11" s="29">
        <f>SUM(J11:L11)</f>
        <v>3914421.2328599999</v>
      </c>
      <c r="Y11" s="29">
        <f>SUM(M11:O11)</f>
        <v>24041439.017129999</v>
      </c>
      <c r="Z11" s="29">
        <f>SUM(P11:R11)</f>
        <v>28509695.028209999</v>
      </c>
      <c r="AA11" s="29">
        <f t="shared" ref="AA11:AA12" si="2">SUM(S11:U11)</f>
        <v>8758503.7184599992</v>
      </c>
      <c r="AB11" s="29">
        <f>SUM(D11:O11)</f>
        <v>64191056.434139997</v>
      </c>
      <c r="AC11" s="60">
        <f t="shared" ref="AC11:AC13" si="3">SUM(D11:U11)</f>
        <v>101459255.18081</v>
      </c>
    </row>
    <row r="12" spans="1:31">
      <c r="A12" s="28">
        <v>3</v>
      </c>
      <c r="B12" s="13" t="s">
        <v>77</v>
      </c>
      <c r="C12" s="28" t="s">
        <v>75</v>
      </c>
      <c r="D12" s="104">
        <v>5343160.4901000001</v>
      </c>
      <c r="E12" s="104">
        <v>4731113.1162999999</v>
      </c>
      <c r="F12" s="104">
        <v>4138163.2485799994</v>
      </c>
      <c r="G12" s="104">
        <v>2854334.3428599997</v>
      </c>
      <c r="H12" s="104">
        <v>1806396.2953199998</v>
      </c>
      <c r="I12" s="154">
        <v>1326128.77018</v>
      </c>
      <c r="J12" s="104">
        <v>1175832.05966</v>
      </c>
      <c r="K12" s="104">
        <v>1043486.18276</v>
      </c>
      <c r="L12" s="104">
        <v>1175600.98994</v>
      </c>
      <c r="M12" s="104">
        <v>2918114.5244799997</v>
      </c>
      <c r="N12" s="104">
        <v>4673287.4872800009</v>
      </c>
      <c r="O12" s="104">
        <v>5242583.4125999995</v>
      </c>
      <c r="P12" s="104">
        <v>5289652.3686800003</v>
      </c>
      <c r="Q12" s="104">
        <v>5585025.5382900005</v>
      </c>
      <c r="R12" s="104">
        <v>3857502.9147199998</v>
      </c>
      <c r="S12" s="104">
        <v>2725226.7623300003</v>
      </c>
      <c r="T12" s="104">
        <v>1709012.27037</v>
      </c>
      <c r="U12" s="104">
        <v>1226611.62525</v>
      </c>
      <c r="V12" s="129">
        <f>SUM(D12:F12)</f>
        <v>14212436.854979999</v>
      </c>
      <c r="W12" s="129">
        <f>SUM(G12:I12)</f>
        <v>5986859.4083599998</v>
      </c>
      <c r="X12" s="129">
        <f>SUM(J12:L12)</f>
        <v>3394919.2323599998</v>
      </c>
      <c r="Y12" s="129">
        <f>SUM(M12:O12)</f>
        <v>12833985.42436</v>
      </c>
      <c r="Z12" s="129">
        <f>SUM(P12:R12)</f>
        <v>14732180.821690001</v>
      </c>
      <c r="AA12" s="29">
        <f t="shared" si="2"/>
        <v>5660850.6579500008</v>
      </c>
      <c r="AB12" s="129">
        <f>SUM(D12:O12)</f>
        <v>36428200.920059994</v>
      </c>
      <c r="AC12" s="60">
        <f t="shared" si="3"/>
        <v>56821232.399699993</v>
      </c>
    </row>
    <row r="13" spans="1:31">
      <c r="A13" s="49">
        <v>4</v>
      </c>
      <c r="B13" s="13" t="s">
        <v>78</v>
      </c>
      <c r="C13" s="28" t="s">
        <v>75</v>
      </c>
      <c r="D13" s="104">
        <v>516713.2</v>
      </c>
      <c r="E13" s="104">
        <v>515875</v>
      </c>
      <c r="F13" s="104">
        <v>517454.6</v>
      </c>
      <c r="G13" s="104">
        <v>517795</v>
      </c>
      <c r="H13" s="104">
        <v>516914.8</v>
      </c>
      <c r="I13" s="154">
        <v>521059.6</v>
      </c>
      <c r="J13" s="104">
        <v>520345.59999999998</v>
      </c>
      <c r="K13" s="104">
        <v>522150.8</v>
      </c>
      <c r="L13" s="104">
        <v>523184.2</v>
      </c>
      <c r="M13" s="104">
        <v>523625.4</v>
      </c>
      <c r="N13" s="104">
        <v>524255.6</v>
      </c>
      <c r="O13" s="104">
        <v>528018.19999999995</v>
      </c>
      <c r="P13" s="104">
        <v>511516.2</v>
      </c>
      <c r="Q13" s="104">
        <v>516445.4</v>
      </c>
      <c r="R13" s="104">
        <v>564587.80000000005</v>
      </c>
      <c r="S13" s="104">
        <v>532020.19999999995</v>
      </c>
      <c r="T13" s="104">
        <v>531620</v>
      </c>
      <c r="U13" s="104">
        <v>535536.6</v>
      </c>
      <c r="V13" s="129">
        <f>SUM(D13:F13)</f>
        <v>1550042.7999999998</v>
      </c>
      <c r="W13" s="129">
        <f>SUM(G13:I13)</f>
        <v>1555769.4</v>
      </c>
      <c r="X13" s="129">
        <f>SUM(J13:L13)</f>
        <v>1565680.5999999999</v>
      </c>
      <c r="Y13" s="129">
        <f>SUM(M13:O13)</f>
        <v>1575899.2</v>
      </c>
      <c r="Z13" s="129">
        <f>SUM(P13:R13)</f>
        <v>1592549.4000000001</v>
      </c>
      <c r="AA13" s="29">
        <f>SUM(S13:U13)</f>
        <v>1599176.7999999998</v>
      </c>
      <c r="AB13" s="129">
        <f>SUM(D13:O13)</f>
        <v>6247392</v>
      </c>
      <c r="AC13" s="60">
        <f t="shared" si="3"/>
        <v>9439118.2000000011</v>
      </c>
    </row>
    <row r="14" spans="1:31" ht="6" customHeight="1">
      <c r="A14" s="28">
        <v>5</v>
      </c>
      <c r="B14" s="13"/>
      <c r="C14" s="28"/>
      <c r="D14" s="74"/>
      <c r="E14" s="74"/>
      <c r="F14" s="74"/>
      <c r="G14" s="74"/>
      <c r="H14" s="74"/>
      <c r="I14" s="138"/>
      <c r="J14" s="74"/>
      <c r="K14" s="74"/>
      <c r="L14" s="74"/>
      <c r="M14" s="74"/>
      <c r="N14" s="74"/>
      <c r="O14" s="74"/>
      <c r="P14" s="74"/>
      <c r="Q14" s="74"/>
      <c r="R14" s="74"/>
      <c r="S14" s="74"/>
      <c r="T14" s="74"/>
      <c r="U14" s="74"/>
      <c r="V14" s="29"/>
      <c r="W14" s="29"/>
      <c r="X14" s="29"/>
      <c r="Y14" s="29"/>
      <c r="Z14" s="29"/>
      <c r="AA14" s="29"/>
      <c r="AB14" s="29"/>
      <c r="AC14" s="60"/>
    </row>
    <row r="15" spans="1:31">
      <c r="A15" s="49">
        <v>6</v>
      </c>
      <c r="B15" s="71" t="s">
        <v>79</v>
      </c>
      <c r="C15" s="28"/>
      <c r="D15" s="74"/>
      <c r="E15" s="74"/>
      <c r="F15" s="74"/>
      <c r="G15" s="74"/>
      <c r="H15" s="74"/>
      <c r="I15" s="138"/>
      <c r="J15" s="74"/>
      <c r="K15" s="74"/>
      <c r="L15" s="74"/>
      <c r="M15" s="74"/>
      <c r="N15" s="74"/>
      <c r="O15" s="74"/>
      <c r="P15" s="74"/>
      <c r="Q15" s="74"/>
      <c r="R15" s="74"/>
      <c r="S15" s="74"/>
      <c r="T15" s="74"/>
      <c r="U15" s="74"/>
      <c r="V15" s="29"/>
      <c r="W15" s="29"/>
      <c r="X15" s="29"/>
      <c r="Y15" s="29"/>
      <c r="Z15" s="29"/>
      <c r="AA15" s="29"/>
      <c r="AB15" s="29"/>
      <c r="AC15" s="60"/>
    </row>
    <row r="16" spans="1:31">
      <c r="A16" s="28">
        <v>7</v>
      </c>
      <c r="B16" s="13" t="s">
        <v>80</v>
      </c>
      <c r="C16" s="28" t="str">
        <f>"("&amp;A10&amp;") - ("&amp;A31&amp;")"</f>
        <v>(1) - (22)</v>
      </c>
      <c r="D16" s="74">
        <f t="shared" ref="D16:I16" si="4">D10-D31</f>
        <v>79361</v>
      </c>
      <c r="E16" s="74">
        <f t="shared" si="4"/>
        <v>79158</v>
      </c>
      <c r="F16" s="74">
        <f t="shared" si="4"/>
        <v>79143</v>
      </c>
      <c r="G16" s="74">
        <f t="shared" si="4"/>
        <v>79062</v>
      </c>
      <c r="H16" s="74">
        <f t="shared" si="4"/>
        <v>78703</v>
      </c>
      <c r="I16" s="138">
        <f t="shared" si="4"/>
        <v>79095</v>
      </c>
      <c r="J16" s="74">
        <f>J10-J31</f>
        <v>78766</v>
      </c>
      <c r="K16" s="74">
        <f t="shared" ref="K16:N16" si="5">K10-K31</f>
        <v>78834</v>
      </c>
      <c r="L16" s="74">
        <f t="shared" si="5"/>
        <v>78860</v>
      </c>
      <c r="M16" s="74">
        <f t="shared" si="5"/>
        <v>78845</v>
      </c>
      <c r="N16" s="74">
        <f t="shared" si="5"/>
        <v>78776</v>
      </c>
      <c r="O16" s="74">
        <f>O10-O31</f>
        <v>79111</v>
      </c>
      <c r="P16" s="74">
        <f>P10-P31</f>
        <v>79249</v>
      </c>
      <c r="Q16" s="74">
        <f t="shared" ref="Q16:U16" si="6">Q10-Q31</f>
        <v>79318</v>
      </c>
      <c r="R16" s="74">
        <f t="shared" si="6"/>
        <v>78510</v>
      </c>
      <c r="S16" s="74">
        <f t="shared" si="6"/>
        <v>78913</v>
      </c>
      <c r="T16" s="74">
        <f t="shared" si="6"/>
        <v>78754</v>
      </c>
      <c r="U16" s="74">
        <f t="shared" si="6"/>
        <v>78818</v>
      </c>
      <c r="V16" s="29">
        <f>SUM(D16:F16)</f>
        <v>237662</v>
      </c>
      <c r="W16" s="29">
        <f>SUM(G16:I16)</f>
        <v>236860</v>
      </c>
      <c r="X16" s="29">
        <f>SUM(J16:L16)</f>
        <v>236460</v>
      </c>
      <c r="Y16" s="29">
        <f>SUM(M16:O16)</f>
        <v>236732</v>
      </c>
      <c r="Z16" s="29">
        <f>SUM(P16:R16)</f>
        <v>237077</v>
      </c>
      <c r="AA16" s="29">
        <f>SUM(S16:U16)</f>
        <v>236485</v>
      </c>
      <c r="AB16" s="29">
        <f>SUM(D16:O16)</f>
        <v>947714</v>
      </c>
      <c r="AC16" s="60">
        <f>SUM(D16:U16)</f>
        <v>1421276</v>
      </c>
      <c r="AE16" s="112"/>
    </row>
    <row r="17" spans="1:32">
      <c r="A17" s="49">
        <v>8</v>
      </c>
      <c r="B17" s="68" t="s">
        <v>81</v>
      </c>
      <c r="C17" s="75" t="s">
        <v>82</v>
      </c>
      <c r="D17" s="76">
        <v>55.082912658241142</v>
      </c>
      <c r="E17" s="76">
        <v>46.891644262322323</v>
      </c>
      <c r="F17" s="76">
        <v>39.937068470606874</v>
      </c>
      <c r="G17" s="77">
        <v>25.869632135315143</v>
      </c>
      <c r="H17" s="77">
        <v>14.524804928263871</v>
      </c>
      <c r="I17" s="149">
        <v>8.9517366027754353</v>
      </c>
      <c r="J17" s="77">
        <v>7.0530857900796713</v>
      </c>
      <c r="K17" s="77">
        <v>6.9750772948320625</v>
      </c>
      <c r="L17" s="77">
        <v>8.2848836229521812</v>
      </c>
      <c r="M17" s="77">
        <v>23.22825978055344</v>
      </c>
      <c r="N17" s="77">
        <v>47.309412569732181</v>
      </c>
      <c r="O17" s="77">
        <v>65.521481884325709</v>
      </c>
      <c r="P17" s="77">
        <v>55.082912658241142</v>
      </c>
      <c r="Q17" s="77">
        <v>46.891644262322323</v>
      </c>
      <c r="R17" s="77">
        <v>39.937068470606874</v>
      </c>
      <c r="S17" s="77">
        <v>25.869632135315143</v>
      </c>
      <c r="T17" s="77">
        <v>14.524804928263871</v>
      </c>
      <c r="U17" s="77">
        <v>8.9517366027754353</v>
      </c>
      <c r="V17" s="67">
        <f>V18/V16</f>
        <v>47.310984582965837</v>
      </c>
      <c r="W17" s="67">
        <f>W18/W16</f>
        <v>16.450596068344002</v>
      </c>
      <c r="X17" s="67">
        <f>X18/X16</f>
        <v>7.4378859904771</v>
      </c>
      <c r="Y17" s="67">
        <f>Y18/Y16</f>
        <v>45.375143116865701</v>
      </c>
      <c r="Z17" s="67">
        <f t="shared" ref="Z17:AA17" si="7">Z18/Z16</f>
        <v>47.326718452145002</v>
      </c>
      <c r="AA17" s="67">
        <f t="shared" si="7"/>
        <v>16.268607664639074</v>
      </c>
      <c r="AB17" s="67">
        <f>AB18/AB16</f>
        <v>29.165995547554274</v>
      </c>
      <c r="AC17" s="55">
        <f t="shared" ref="AC17" si="8">AC18/AC16</f>
        <v>30.049322171348987</v>
      </c>
      <c r="AF17" s="112"/>
    </row>
    <row r="18" spans="1:32">
      <c r="A18" s="28">
        <v>9</v>
      </c>
      <c r="B18" s="13" t="s">
        <v>83</v>
      </c>
      <c r="C18" s="28" t="str">
        <f>"("&amp;A16&amp;") x ("&amp;A17&amp;")"</f>
        <v>(7) x (8)</v>
      </c>
      <c r="D18" s="78">
        <f t="shared" ref="D18:I18" si="9">D16*D17</f>
        <v>4371435.031470675</v>
      </c>
      <c r="E18" s="78">
        <f t="shared" si="9"/>
        <v>3711848.7765169106</v>
      </c>
      <c r="F18" s="78">
        <f t="shared" si="9"/>
        <v>3160739.40996924</v>
      </c>
      <c r="G18" s="78">
        <f t="shared" si="9"/>
        <v>2045304.8558822859</v>
      </c>
      <c r="H18" s="78">
        <f t="shared" si="9"/>
        <v>1143145.7222691514</v>
      </c>
      <c r="I18" s="94">
        <f t="shared" si="9"/>
        <v>708037.60659652308</v>
      </c>
      <c r="J18" s="78">
        <f t="shared" ref="J18:T18" si="10">J16*J17</f>
        <v>555543.35534141539</v>
      </c>
      <c r="K18" s="78">
        <f t="shared" si="10"/>
        <v>549873.24346079084</v>
      </c>
      <c r="L18" s="78">
        <f t="shared" si="10"/>
        <v>653345.922506009</v>
      </c>
      <c r="M18" s="78">
        <f t="shared" si="10"/>
        <v>1831432.142397736</v>
      </c>
      <c r="N18" s="78">
        <f t="shared" si="10"/>
        <v>3726846.2845932222</v>
      </c>
      <c r="O18" s="78">
        <f t="shared" si="10"/>
        <v>5183469.9533508914</v>
      </c>
      <c r="P18" s="78">
        <f>P16*P17</f>
        <v>4365265.745252952</v>
      </c>
      <c r="Q18" s="78">
        <f t="shared" si="10"/>
        <v>3719351.4395988821</v>
      </c>
      <c r="R18" s="78">
        <f t="shared" si="10"/>
        <v>3135459.2456273455</v>
      </c>
      <c r="S18" s="78">
        <f t="shared" si="10"/>
        <v>2041450.2806941238</v>
      </c>
      <c r="T18" s="78">
        <f t="shared" si="10"/>
        <v>1143886.487320493</v>
      </c>
      <c r="U18" s="223">
        <f>U16*U17-43613.06</f>
        <v>661944.91555755422</v>
      </c>
      <c r="V18" s="30">
        <f>SUM(D18:F18)</f>
        <v>11244023.217956826</v>
      </c>
      <c r="W18" s="30">
        <f>SUM(G18:I18)</f>
        <v>3896488.1847479604</v>
      </c>
      <c r="X18" s="30">
        <f>SUM(J18:L18)</f>
        <v>1758762.5213082151</v>
      </c>
      <c r="Y18" s="30">
        <f>SUM(M18:O18)</f>
        <v>10741748.38034185</v>
      </c>
      <c r="Z18" s="30">
        <f>SUM(P18:R18)</f>
        <v>11220076.43047918</v>
      </c>
      <c r="AA18" s="30">
        <f>SUM(S18:U18)</f>
        <v>3847281.6835721713</v>
      </c>
      <c r="AB18" s="30">
        <f>SUM(D18:O18)</f>
        <v>27641022.30435485</v>
      </c>
      <c r="AC18" s="61">
        <f>SUM(D18:U18)</f>
        <v>42708380.418406203</v>
      </c>
      <c r="AE18" s="112"/>
    </row>
    <row r="19" spans="1:32" ht="6" customHeight="1">
      <c r="A19" s="49">
        <v>10</v>
      </c>
      <c r="B19" s="13"/>
      <c r="C19" s="28"/>
      <c r="D19" s="79"/>
      <c r="E19" s="79"/>
      <c r="F19" s="79"/>
      <c r="G19" s="79"/>
      <c r="H19" s="79"/>
      <c r="I19" s="139"/>
      <c r="J19" s="79"/>
      <c r="K19" s="79"/>
      <c r="L19" s="79"/>
      <c r="M19" s="79"/>
      <c r="N19" s="79"/>
      <c r="O19" s="79"/>
      <c r="P19" s="79"/>
      <c r="Q19" s="79"/>
      <c r="R19" s="79"/>
      <c r="S19" s="79"/>
      <c r="T19" s="79"/>
      <c r="U19" s="79"/>
      <c r="AC19" s="31"/>
    </row>
    <row r="20" spans="1:32">
      <c r="A20" s="28">
        <v>11</v>
      </c>
      <c r="B20" s="13" t="s">
        <v>30</v>
      </c>
      <c r="C20" s="28" t="str">
        <f>"("&amp;A12&amp;") - ("&amp;A35&amp;")"</f>
        <v>(3) - (26)</v>
      </c>
      <c r="D20" s="78">
        <f t="shared" ref="D20:I20" si="11">D12-D35</f>
        <v>4969337.2100999998</v>
      </c>
      <c r="E20" s="78">
        <f t="shared" si="11"/>
        <v>4378530.2363</v>
      </c>
      <c r="F20" s="78">
        <f t="shared" si="11"/>
        <v>3822826.2685799995</v>
      </c>
      <c r="G20" s="78">
        <f t="shared" si="11"/>
        <v>2583057.3028599997</v>
      </c>
      <c r="H20" s="78">
        <f t="shared" si="11"/>
        <v>1648379.9953199998</v>
      </c>
      <c r="I20" s="94">
        <f t="shared" si="11"/>
        <v>1202496.25018</v>
      </c>
      <c r="J20" s="78">
        <f t="shared" ref="J20:O21" si="12">J12-J35</f>
        <v>1079923.4696599999</v>
      </c>
      <c r="K20" s="78">
        <f t="shared" si="12"/>
        <v>958854.30275999999</v>
      </c>
      <c r="L20" s="78">
        <f t="shared" si="12"/>
        <v>1083702.27994</v>
      </c>
      <c r="M20" s="78">
        <f t="shared" si="12"/>
        <v>2778414.1644799998</v>
      </c>
      <c r="N20" s="78">
        <f t="shared" si="12"/>
        <v>4328585.9672800004</v>
      </c>
      <c r="O20" s="78">
        <f t="shared" si="12"/>
        <v>4766233.7725999998</v>
      </c>
      <c r="P20" s="78">
        <f t="shared" ref="P20:U20" si="13">P12-P35</f>
        <v>4748681.4686799999</v>
      </c>
      <c r="Q20" s="78">
        <f t="shared" si="13"/>
        <v>5046695.9082900006</v>
      </c>
      <c r="R20" s="78">
        <f t="shared" si="13"/>
        <v>3391314.3847199995</v>
      </c>
      <c r="S20" s="78">
        <f t="shared" si="13"/>
        <v>2388345.7123300005</v>
      </c>
      <c r="T20" s="78">
        <f t="shared" si="13"/>
        <v>1510643.76037</v>
      </c>
      <c r="U20" s="78">
        <f t="shared" si="13"/>
        <v>1076474.61525</v>
      </c>
      <c r="V20" s="78">
        <f t="shared" ref="V20:AB20" si="14">V12-V35</f>
        <v>13170693.714979999</v>
      </c>
      <c r="W20" s="78">
        <f t="shared" si="14"/>
        <v>5433933.5483599994</v>
      </c>
      <c r="X20" s="78">
        <f t="shared" si="14"/>
        <v>3122480.0523599996</v>
      </c>
      <c r="Y20" s="78">
        <f t="shared" si="14"/>
        <v>11873233.90436</v>
      </c>
      <c r="Z20" s="78">
        <f t="shared" ref="Z20:AA20" si="15">Z12-Z35</f>
        <v>13186691.76169</v>
      </c>
      <c r="AA20" s="78">
        <f t="shared" si="15"/>
        <v>4975464.0879500005</v>
      </c>
      <c r="AB20" s="78">
        <f t="shared" si="14"/>
        <v>33600341.220059991</v>
      </c>
      <c r="AC20" s="78">
        <f t="shared" ref="AC20:AC21" si="16">AC12-AC34</f>
        <v>56821232.399699993</v>
      </c>
    </row>
    <row r="21" spans="1:32">
      <c r="A21" s="49">
        <v>12</v>
      </c>
      <c r="B21" s="13" t="s">
        <v>20</v>
      </c>
      <c r="C21" s="28" t="str">
        <f>"("&amp;A13&amp;") - ("&amp;A36&amp;")"</f>
        <v>(4) - (27)</v>
      </c>
      <c r="D21" s="78">
        <f t="shared" ref="D21:I21" si="17">D13-D36</f>
        <v>478821.8</v>
      </c>
      <c r="E21" s="78">
        <f t="shared" si="17"/>
        <v>476933</v>
      </c>
      <c r="F21" s="78">
        <f t="shared" si="17"/>
        <v>477843.19999999995</v>
      </c>
      <c r="G21" s="78">
        <f t="shared" si="17"/>
        <v>477162.6</v>
      </c>
      <c r="H21" s="78">
        <f t="shared" si="17"/>
        <v>475337.2</v>
      </c>
      <c r="I21" s="94">
        <f t="shared" si="17"/>
        <v>478335.6</v>
      </c>
      <c r="J21" s="78">
        <f t="shared" si="12"/>
        <v>476207.24</v>
      </c>
      <c r="K21" s="78">
        <f t="shared" si="12"/>
        <v>477410</v>
      </c>
      <c r="L21" s="78">
        <f t="shared" si="12"/>
        <v>476986.2</v>
      </c>
      <c r="M21" s="78">
        <f t="shared" si="12"/>
        <v>476883</v>
      </c>
      <c r="N21" s="78">
        <f t="shared" si="12"/>
        <v>475675.6</v>
      </c>
      <c r="O21" s="78">
        <f t="shared" si="12"/>
        <v>477896.19999999995</v>
      </c>
      <c r="P21" s="78">
        <f t="shared" ref="P21:U21" si="18">P13-P36</f>
        <v>459718.60000000003</v>
      </c>
      <c r="Q21" s="78">
        <f t="shared" si="18"/>
        <v>465594.2</v>
      </c>
      <c r="R21" s="78">
        <f t="shared" si="18"/>
        <v>509475.60000000003</v>
      </c>
      <c r="S21" s="78">
        <f t="shared" si="18"/>
        <v>476929.79999999993</v>
      </c>
      <c r="T21" s="78">
        <f t="shared" si="18"/>
        <v>475886.6</v>
      </c>
      <c r="U21" s="78">
        <f t="shared" si="18"/>
        <v>477710</v>
      </c>
      <c r="V21" s="78">
        <f t="shared" ref="V21:AB21" si="19">V13-V36</f>
        <v>1433597.9999999998</v>
      </c>
      <c r="W21" s="78">
        <f t="shared" si="19"/>
        <v>1430835.4</v>
      </c>
      <c r="X21" s="78">
        <f t="shared" si="19"/>
        <v>1430603.44</v>
      </c>
      <c r="Y21" s="78">
        <f t="shared" si="19"/>
        <v>1430454.8</v>
      </c>
      <c r="Z21" s="78">
        <f t="shared" ref="Z21:AA21" si="20">Z13-Z36</f>
        <v>1434788.4000000001</v>
      </c>
      <c r="AA21" s="78">
        <f t="shared" si="20"/>
        <v>1430526.4</v>
      </c>
      <c r="AB21" s="78">
        <f t="shared" si="19"/>
        <v>5725491.6399999997</v>
      </c>
      <c r="AC21" s="78">
        <f t="shared" si="16"/>
        <v>4380382.870000002</v>
      </c>
    </row>
    <row r="22" spans="1:32">
      <c r="A22" s="28">
        <v>13</v>
      </c>
      <c r="B22" s="2" t="s">
        <v>106</v>
      </c>
      <c r="C22" s="28" t="str">
        <f>"("&amp;A11&amp;") - ("&amp;A37&amp;")"</f>
        <v>(2) - (28)</v>
      </c>
      <c r="D22" s="74">
        <f t="shared" ref="D22:I22" si="21">D11-D37</f>
        <v>9148497.8028499987</v>
      </c>
      <c r="E22" s="74">
        <f t="shared" si="21"/>
        <v>8376845.8300100006</v>
      </c>
      <c r="F22" s="74">
        <f t="shared" si="21"/>
        <v>7179991.72468</v>
      </c>
      <c r="G22" s="74">
        <f t="shared" si="21"/>
        <v>4527665.47272</v>
      </c>
      <c r="H22" s="74">
        <f t="shared" si="21"/>
        <v>2506996.0293100001</v>
      </c>
      <c r="I22" s="138">
        <f t="shared" si="21"/>
        <v>1582202.9425000001</v>
      </c>
      <c r="J22" s="74">
        <f t="shared" ref="J22:O22" si="22">J11-J37</f>
        <v>1283320.47043</v>
      </c>
      <c r="K22" s="74">
        <f t="shared" si="22"/>
        <v>1008472.5940500001</v>
      </c>
      <c r="L22" s="74">
        <f t="shared" si="22"/>
        <v>1326216.8775299999</v>
      </c>
      <c r="M22" s="74">
        <f t="shared" si="22"/>
        <v>4903258.2309099995</v>
      </c>
      <c r="N22" s="74">
        <f t="shared" si="22"/>
        <v>8096445.2039700001</v>
      </c>
      <c r="O22" s="74">
        <f t="shared" si="22"/>
        <v>9286763.1021399982</v>
      </c>
      <c r="P22" s="74">
        <f t="shared" ref="P22:U22" si="23">P11-P37</f>
        <v>9433370.0921</v>
      </c>
      <c r="Q22" s="74">
        <f t="shared" si="23"/>
        <v>9821014.2844999991</v>
      </c>
      <c r="R22" s="74">
        <f t="shared" si="23"/>
        <v>6268182.8901500003</v>
      </c>
      <c r="S22" s="74">
        <f t="shared" si="23"/>
        <v>4139856.69563</v>
      </c>
      <c r="T22" s="74">
        <f t="shared" si="23"/>
        <v>2211252.1515600001</v>
      </c>
      <c r="U22" s="74">
        <f t="shared" si="23"/>
        <v>1295100.23649</v>
      </c>
      <c r="V22" s="74">
        <f t="shared" ref="V22:AB22" si="24">V11-V37</f>
        <v>24705335.35754</v>
      </c>
      <c r="W22" s="74">
        <f t="shared" si="24"/>
        <v>8616864.4445300009</v>
      </c>
      <c r="X22" s="74">
        <f t="shared" si="24"/>
        <v>3618009.9420099999</v>
      </c>
      <c r="Y22" s="74">
        <f t="shared" si="24"/>
        <v>22286466.537019998</v>
      </c>
      <c r="Z22" s="74">
        <f t="shared" ref="Z22:AA22" si="25">Z11-Z37</f>
        <v>25522567.26675</v>
      </c>
      <c r="AA22" s="74">
        <f t="shared" si="25"/>
        <v>7646209.0836799992</v>
      </c>
      <c r="AB22" s="74">
        <f t="shared" si="24"/>
        <v>59226676.281099997</v>
      </c>
      <c r="AC22" s="74">
        <f t="shared" ref="AC22" si="26">AC11-AC36</f>
        <v>100610943.42081</v>
      </c>
    </row>
    <row r="23" spans="1:32" hidden="1">
      <c r="A23" s="49">
        <v>14</v>
      </c>
      <c r="B23" s="13"/>
      <c r="C23" s="28"/>
      <c r="D23" s="80"/>
      <c r="E23" s="80"/>
      <c r="F23" s="80"/>
      <c r="G23" s="80"/>
      <c r="H23" s="80"/>
      <c r="I23" s="140"/>
      <c r="J23" s="80"/>
      <c r="K23" s="80"/>
      <c r="L23" s="80"/>
      <c r="M23" s="80"/>
      <c r="N23" s="80"/>
      <c r="O23" s="80"/>
      <c r="P23" s="80"/>
      <c r="Q23" s="80"/>
      <c r="R23" s="80"/>
      <c r="S23" s="80"/>
      <c r="T23" s="80"/>
      <c r="U23" s="80"/>
      <c r="AC23" s="80">
        <f>AC24/AC22</f>
        <v>0</v>
      </c>
    </row>
    <row r="24" spans="1:32" ht="6" customHeight="1">
      <c r="A24" s="28">
        <v>15</v>
      </c>
      <c r="B24" s="13"/>
      <c r="C24" s="28"/>
      <c r="D24" s="78"/>
      <c r="E24" s="78"/>
      <c r="F24" s="78"/>
      <c r="G24" s="78"/>
      <c r="H24" s="78"/>
      <c r="I24" s="94"/>
      <c r="J24" s="78"/>
      <c r="K24" s="78"/>
      <c r="L24" s="78"/>
      <c r="M24" s="78"/>
      <c r="N24" s="78"/>
      <c r="O24" s="78"/>
      <c r="P24" s="78"/>
      <c r="Q24" s="78"/>
      <c r="R24" s="78"/>
      <c r="S24" s="78"/>
      <c r="T24" s="78"/>
      <c r="U24" s="78"/>
      <c r="AC24" s="61"/>
    </row>
    <row r="25" spans="1:32">
      <c r="A25" s="49">
        <v>16</v>
      </c>
      <c r="B25" s="13" t="s">
        <v>88</v>
      </c>
      <c r="C25" s="28" t="str">
        <f>"("&amp;A20&amp;") - ("&amp;A21&amp;") -("&amp;A24&amp;")"</f>
        <v>(11) - (12) -(15)</v>
      </c>
      <c r="D25" s="78">
        <f t="shared" ref="D25:I25" si="27">D20-D21-D24</f>
        <v>4490515.4101</v>
      </c>
      <c r="E25" s="78">
        <f t="shared" si="27"/>
        <v>3901597.2363</v>
      </c>
      <c r="F25" s="78">
        <f t="shared" si="27"/>
        <v>3344983.0685799997</v>
      </c>
      <c r="G25" s="78">
        <f t="shared" si="27"/>
        <v>2105894.7028599996</v>
      </c>
      <c r="H25" s="78">
        <f t="shared" si="27"/>
        <v>1173042.7953199998</v>
      </c>
      <c r="I25" s="94">
        <f t="shared" si="27"/>
        <v>724160.65018</v>
      </c>
      <c r="J25" s="78">
        <f t="shared" ref="J25:O25" si="28">J20-J21-J24</f>
        <v>603716.22965999995</v>
      </c>
      <c r="K25" s="78">
        <f t="shared" si="28"/>
        <v>481444.30275999999</v>
      </c>
      <c r="L25" s="78">
        <f t="shared" si="28"/>
        <v>606716.07994000008</v>
      </c>
      <c r="M25" s="78">
        <f t="shared" si="28"/>
        <v>2301531.1644799998</v>
      </c>
      <c r="N25" s="78">
        <f t="shared" si="28"/>
        <v>3852910.3672800004</v>
      </c>
      <c r="O25" s="78">
        <f t="shared" si="28"/>
        <v>4288337.5725999996</v>
      </c>
      <c r="P25" s="78">
        <f t="shared" ref="P25:U25" si="29">P20-P21-P24</f>
        <v>4288962.8686800003</v>
      </c>
      <c r="Q25" s="78">
        <f t="shared" si="29"/>
        <v>4581101.7082900004</v>
      </c>
      <c r="R25" s="78">
        <f t="shared" si="29"/>
        <v>2881838.7847199994</v>
      </c>
      <c r="S25" s="78">
        <f t="shared" si="29"/>
        <v>1911415.9123300007</v>
      </c>
      <c r="T25" s="78">
        <f t="shared" si="29"/>
        <v>1034757.1603700001</v>
      </c>
      <c r="U25" s="78">
        <f t="shared" si="29"/>
        <v>598764.61525000003</v>
      </c>
      <c r="V25" s="30">
        <f>SUM(D25:F25)</f>
        <v>11737095.714980001</v>
      </c>
      <c r="W25" s="30">
        <f>SUM(G25:I25)</f>
        <v>4003098.1483599991</v>
      </c>
      <c r="X25" s="30">
        <f>SUM(J25:L25)</f>
        <v>1691876.6123600001</v>
      </c>
      <c r="Y25" s="30">
        <f>SUM(M25:O25)</f>
        <v>10442779.104359999</v>
      </c>
      <c r="Z25" s="30">
        <f>SUM(P25:R25)</f>
        <v>11751903.36169</v>
      </c>
      <c r="AA25" s="30">
        <f>SUM(S25:U25)</f>
        <v>3544937.6879500011</v>
      </c>
      <c r="AB25" s="30">
        <f>SUM(D25:O25)</f>
        <v>27874849.580060001</v>
      </c>
      <c r="AC25" s="61">
        <f>SUM(D25:U25)</f>
        <v>43171690.629699998</v>
      </c>
    </row>
    <row r="26" spans="1:32">
      <c r="A26" s="28">
        <v>17</v>
      </c>
      <c r="B26" s="3" t="s">
        <v>21</v>
      </c>
      <c r="C26" s="28"/>
      <c r="D26" s="81">
        <f t="shared" ref="D26:I26" si="30">D25/D16</f>
        <v>56.583402554151284</v>
      </c>
      <c r="E26" s="81">
        <f t="shared" si="30"/>
        <v>49.288729329947699</v>
      </c>
      <c r="F26" s="81">
        <f t="shared" si="30"/>
        <v>42.265052734670149</v>
      </c>
      <c r="G26" s="81">
        <f t="shared" si="30"/>
        <v>26.635990777617561</v>
      </c>
      <c r="H26" s="81">
        <f t="shared" si="30"/>
        <v>14.904677017648625</v>
      </c>
      <c r="I26" s="141">
        <f t="shared" si="30"/>
        <v>9.1555806331626517</v>
      </c>
      <c r="J26" s="81">
        <f t="shared" ref="J26:O26" si="31">J25/J16</f>
        <v>7.6646805685194117</v>
      </c>
      <c r="K26" s="81">
        <f t="shared" si="31"/>
        <v>6.1070642458837554</v>
      </c>
      <c r="L26" s="81">
        <f t="shared" si="31"/>
        <v>7.6935845795079896</v>
      </c>
      <c r="M26" s="81">
        <f t="shared" si="31"/>
        <v>29.190578533578538</v>
      </c>
      <c r="N26" s="81">
        <f t="shared" si="31"/>
        <v>48.90969796994009</v>
      </c>
      <c r="O26" s="81">
        <f t="shared" si="31"/>
        <v>54.20659039324493</v>
      </c>
      <c r="P26" s="81">
        <f t="shared" ref="P26:U26" si="32">P25/P16</f>
        <v>54.120088186349356</v>
      </c>
      <c r="Q26" s="81">
        <f t="shared" si="32"/>
        <v>57.756142468166125</v>
      </c>
      <c r="R26" s="81">
        <f t="shared" si="32"/>
        <v>36.70664609247229</v>
      </c>
      <c r="S26" s="81">
        <f t="shared" si="32"/>
        <v>24.221812785345897</v>
      </c>
      <c r="T26" s="81">
        <f t="shared" si="32"/>
        <v>13.139106081849812</v>
      </c>
      <c r="U26" s="81">
        <f t="shared" si="32"/>
        <v>7.596800416782969</v>
      </c>
      <c r="V26" s="67">
        <f>V25/V16</f>
        <v>49.385664157416841</v>
      </c>
      <c r="W26" s="67">
        <f t="shared" ref="W26:AC26" si="33">W25/W16</f>
        <v>16.900693018491932</v>
      </c>
      <c r="X26" s="67">
        <f t="shared" si="33"/>
        <v>7.15502246620993</v>
      </c>
      <c r="Y26" s="67">
        <f t="shared" si="33"/>
        <v>44.112241287024986</v>
      </c>
      <c r="Z26" s="67">
        <f t="shared" ref="Z26:AA26" si="34">Z25/Z16</f>
        <v>49.569985117451289</v>
      </c>
      <c r="AA26" s="67">
        <f t="shared" si="34"/>
        <v>14.990116446920528</v>
      </c>
      <c r="AB26" s="67">
        <f t="shared" si="33"/>
        <v>29.412723226690755</v>
      </c>
      <c r="AC26" s="63">
        <f t="shared" si="33"/>
        <v>30.37530404347924</v>
      </c>
    </row>
    <row r="27" spans="1:32">
      <c r="A27" s="49">
        <v>18</v>
      </c>
      <c r="B27" s="13" t="s">
        <v>89</v>
      </c>
      <c r="C27" s="28" t="str">
        <f>"("&amp;A$18&amp;") - ("&amp;A25&amp;")"</f>
        <v>(9) - (16)</v>
      </c>
      <c r="D27" s="78">
        <f t="shared" ref="D27:I27" si="35">D18-D25</f>
        <v>-119080.37862932496</v>
      </c>
      <c r="E27" s="78">
        <f t="shared" si="35"/>
        <v>-189748.45978308935</v>
      </c>
      <c r="F27" s="78">
        <f t="shared" si="35"/>
        <v>-184243.65861075977</v>
      </c>
      <c r="G27" s="78">
        <f t="shared" si="35"/>
        <v>-60589.846977713751</v>
      </c>
      <c r="H27" s="78">
        <f t="shared" si="35"/>
        <v>-29897.073050848441</v>
      </c>
      <c r="I27" s="94">
        <f t="shared" si="35"/>
        <v>-16123.043583476916</v>
      </c>
      <c r="J27" s="78">
        <f t="shared" ref="J27:O27" si="36">J18-J25</f>
        <v>-48172.874318584567</v>
      </c>
      <c r="K27" s="78">
        <f t="shared" si="36"/>
        <v>68428.940700790845</v>
      </c>
      <c r="L27" s="78">
        <f t="shared" si="36"/>
        <v>46629.842566008912</v>
      </c>
      <c r="M27" s="78">
        <f t="shared" si="36"/>
        <v>-470099.02208226384</v>
      </c>
      <c r="N27" s="78">
        <f t="shared" si="36"/>
        <v>-126064.08268677816</v>
      </c>
      <c r="O27" s="78">
        <f t="shared" si="36"/>
        <v>895132.38075089175</v>
      </c>
      <c r="P27" s="78">
        <f t="shared" ref="P27:U27" si="37">P18-P25</f>
        <v>76302.876572951674</v>
      </c>
      <c r="Q27" s="78">
        <f t="shared" si="37"/>
        <v>-861750.26869111834</v>
      </c>
      <c r="R27" s="78">
        <f t="shared" si="37"/>
        <v>253620.4609073461</v>
      </c>
      <c r="S27" s="78">
        <f t="shared" si="37"/>
        <v>130034.36836412316</v>
      </c>
      <c r="T27" s="78">
        <f t="shared" si="37"/>
        <v>109129.32695049292</v>
      </c>
      <c r="U27" s="78">
        <f t="shared" si="37"/>
        <v>63180.300307554193</v>
      </c>
      <c r="V27" s="30">
        <f>SUM(D27:F27)</f>
        <v>-493072.49702317407</v>
      </c>
      <c r="W27" s="30">
        <f>SUM(G27:I27)</f>
        <v>-106609.96361203911</v>
      </c>
      <c r="X27" s="30">
        <f>SUM(J27:L27)</f>
        <v>66885.90894821519</v>
      </c>
      <c r="Y27" s="30">
        <f>SUM(M27:O27)</f>
        <v>298969.27598184976</v>
      </c>
      <c r="Z27" s="30">
        <f>SUM(P27:R27)</f>
        <v>-531826.93121082056</v>
      </c>
      <c r="AA27" s="30">
        <f>SUM(S27:U27)</f>
        <v>302343.99562217027</v>
      </c>
      <c r="AB27" s="30">
        <f>SUM(D27:O27)</f>
        <v>-233827.27570514823</v>
      </c>
      <c r="AC27" s="61">
        <f>SUM(D27:U27)</f>
        <v>-463310.21129379852</v>
      </c>
    </row>
    <row r="28" spans="1:32">
      <c r="A28" s="28">
        <v>19</v>
      </c>
      <c r="B28" s="13"/>
      <c r="C28" s="28"/>
      <c r="D28" s="78"/>
      <c r="E28" s="78"/>
      <c r="F28" s="78"/>
      <c r="G28" s="78"/>
      <c r="H28" s="78"/>
      <c r="I28" s="94"/>
      <c r="J28" s="78"/>
      <c r="K28" s="78"/>
      <c r="L28" s="78"/>
      <c r="M28" s="78"/>
      <c r="N28" s="78"/>
      <c r="O28" s="78"/>
      <c r="P28" s="78"/>
      <c r="Q28" s="78"/>
      <c r="R28" s="78"/>
      <c r="S28" s="78"/>
      <c r="T28" s="78"/>
      <c r="U28" s="78"/>
      <c r="AC28" s="61"/>
    </row>
    <row r="29" spans="1:32" hidden="1">
      <c r="A29" s="49">
        <v>20</v>
      </c>
      <c r="B29" s="13"/>
      <c r="C29" s="28"/>
      <c r="D29" s="78"/>
      <c r="E29" s="78"/>
      <c r="F29" s="78"/>
      <c r="G29" s="78"/>
      <c r="H29" s="78"/>
      <c r="I29" s="94"/>
      <c r="J29" s="78"/>
      <c r="K29" s="78"/>
      <c r="L29" s="78"/>
      <c r="M29" s="78"/>
      <c r="N29" s="78"/>
      <c r="O29" s="78"/>
      <c r="P29" s="78"/>
      <c r="Q29" s="78"/>
      <c r="R29" s="78"/>
      <c r="S29" s="78"/>
      <c r="T29" s="78"/>
      <c r="U29" s="78"/>
      <c r="AC29" s="31"/>
    </row>
    <row r="30" spans="1:32">
      <c r="A30" s="28">
        <v>21</v>
      </c>
      <c r="B30" s="71" t="s">
        <v>90</v>
      </c>
      <c r="C30" s="28"/>
      <c r="D30" s="78"/>
      <c r="E30" s="78"/>
      <c r="F30" s="78"/>
      <c r="G30" s="78"/>
      <c r="H30" s="78"/>
      <c r="I30" s="94"/>
      <c r="J30" s="78"/>
      <c r="K30" s="78"/>
      <c r="L30" s="78"/>
      <c r="M30" s="78"/>
      <c r="N30" s="78"/>
      <c r="O30" s="78"/>
      <c r="P30" s="78"/>
      <c r="Q30" s="78"/>
      <c r="R30" s="78"/>
      <c r="S30" s="78"/>
      <c r="T30" s="78"/>
      <c r="U30" s="78"/>
      <c r="AC30" s="60"/>
    </row>
    <row r="31" spans="1:32">
      <c r="A31" s="49">
        <v>22</v>
      </c>
      <c r="B31" s="13" t="s">
        <v>91</v>
      </c>
      <c r="C31" s="28" t="s">
        <v>75</v>
      </c>
      <c r="D31" s="102">
        <v>6438</v>
      </c>
      <c r="E31" s="102">
        <v>6635</v>
      </c>
      <c r="F31" s="102">
        <v>6790</v>
      </c>
      <c r="G31" s="102">
        <v>6956</v>
      </c>
      <c r="H31" s="102">
        <v>7137</v>
      </c>
      <c r="I31" s="153">
        <v>7317</v>
      </c>
      <c r="J31" s="102">
        <v>7533</v>
      </c>
      <c r="K31" s="102">
        <v>7714</v>
      </c>
      <c r="L31" s="102">
        <v>7953</v>
      </c>
      <c r="M31" s="102">
        <v>8076</v>
      </c>
      <c r="N31" s="102">
        <v>8363</v>
      </c>
      <c r="O31" s="102">
        <v>8577</v>
      </c>
      <c r="P31" s="102">
        <v>8719</v>
      </c>
      <c r="Q31" s="102">
        <v>8650</v>
      </c>
      <c r="R31" s="102">
        <v>9458</v>
      </c>
      <c r="S31" s="102">
        <v>9481</v>
      </c>
      <c r="T31" s="102">
        <v>9602</v>
      </c>
      <c r="U31" s="102">
        <v>10004</v>
      </c>
      <c r="V31" s="29">
        <f>SUM(D31:F31)</f>
        <v>19863</v>
      </c>
      <c r="W31" s="29">
        <f>SUM(G31:I31)</f>
        <v>21410</v>
      </c>
      <c r="X31" s="29">
        <f>SUM(J31:L31)</f>
        <v>23200</v>
      </c>
      <c r="Y31" s="29">
        <f>SUM(M31:O31)</f>
        <v>25016</v>
      </c>
      <c r="Z31" s="29">
        <f>SUM(P31:R31)</f>
        <v>26827</v>
      </c>
      <c r="AA31" s="29">
        <f>SUM(S31:U31)</f>
        <v>29087</v>
      </c>
      <c r="AB31" s="29">
        <f>SUM(D31:O31)</f>
        <v>89489</v>
      </c>
      <c r="AC31" s="60">
        <f>SUM(D31:U31)</f>
        <v>145403</v>
      </c>
    </row>
    <row r="32" spans="1:32">
      <c r="A32" s="28">
        <v>23</v>
      </c>
      <c r="B32" s="68" t="s">
        <v>81</v>
      </c>
      <c r="C32" s="75" t="s">
        <v>82</v>
      </c>
      <c r="D32" s="76">
        <v>52.001307042032018</v>
      </c>
      <c r="E32" s="76">
        <v>44.268297976903376</v>
      </c>
      <c r="F32" s="76">
        <v>37.702794926331293</v>
      </c>
      <c r="G32" s="76">
        <v>24.422359290974654</v>
      </c>
      <c r="H32" s="76">
        <v>13.712216808260321</v>
      </c>
      <c r="I32" s="142">
        <v>8.4509329876672137</v>
      </c>
      <c r="J32" s="76">
        <v>6.6585019212641852</v>
      </c>
      <c r="K32" s="76">
        <v>6.5848576000492489</v>
      </c>
      <c r="L32" s="76">
        <v>7.8213870017670866</v>
      </c>
      <c r="M32" s="76">
        <v>21.928758132217698</v>
      </c>
      <c r="N32" s="76">
        <v>44.662694296517749</v>
      </c>
      <c r="O32" s="76">
        <v>61.855892016015183</v>
      </c>
      <c r="P32" s="76">
        <v>52.001307042032018</v>
      </c>
      <c r="Q32" s="76">
        <v>44.268297976903376</v>
      </c>
      <c r="R32" s="76">
        <v>37.702794926331293</v>
      </c>
      <c r="S32" s="76">
        <v>24.422359290974654</v>
      </c>
      <c r="T32" s="76">
        <v>13.712216808260321</v>
      </c>
      <c r="U32" s="76">
        <v>8.4509329876672137</v>
      </c>
      <c r="V32" s="67">
        <f>V33/V31</f>
        <v>44.530360437151764</v>
      </c>
      <c r="W32" s="67">
        <f>W33/W31</f>
        <v>15.393811268535014</v>
      </c>
      <c r="X32" s="67">
        <f>X33/X31</f>
        <v>7.032654195030891</v>
      </c>
      <c r="Y32" s="67">
        <f>Y33/Y31</f>
        <v>43.218290250197086</v>
      </c>
      <c r="Z32" s="67">
        <f t="shared" ref="Z32:AA32" si="38">Z33/Z31</f>
        <v>44.46688813556986</v>
      </c>
      <c r="AA32" s="67">
        <f t="shared" si="38"/>
        <v>16.279310270542478</v>
      </c>
      <c r="AB32" s="67">
        <f>AB33/AB31</f>
        <v>27.471469955481975</v>
      </c>
      <c r="AC32" s="55">
        <f>AC33/AC31</f>
        <v>28.368217166759475</v>
      </c>
    </row>
    <row r="33" spans="1:35">
      <c r="A33" s="49">
        <v>24</v>
      </c>
      <c r="B33" s="13" t="s">
        <v>83</v>
      </c>
      <c r="C33" s="28" t="str">
        <f>"("&amp;A31&amp;") x ("&amp;A32&amp;")"</f>
        <v>(22) x (23)</v>
      </c>
      <c r="D33" s="78">
        <f t="shared" ref="D33:I33" si="39">D31*D32</f>
        <v>334784.41473660211</v>
      </c>
      <c r="E33" s="78">
        <f t="shared" si="39"/>
        <v>293720.15707675391</v>
      </c>
      <c r="F33" s="78">
        <f t="shared" si="39"/>
        <v>256001.97754978947</v>
      </c>
      <c r="G33" s="78">
        <f t="shared" si="39"/>
        <v>169881.9312280197</v>
      </c>
      <c r="H33" s="78">
        <f t="shared" si="39"/>
        <v>97864.09136055391</v>
      </c>
      <c r="I33" s="94">
        <f t="shared" si="39"/>
        <v>61835.476670761003</v>
      </c>
      <c r="J33" s="78">
        <f t="shared" ref="J33:T33" si="40">J31*J32</f>
        <v>50158.494972883105</v>
      </c>
      <c r="K33" s="78">
        <f t="shared" si="40"/>
        <v>50795.591526779906</v>
      </c>
      <c r="L33" s="78">
        <f t="shared" si="40"/>
        <v>62203.490825053639</v>
      </c>
      <c r="M33" s="78">
        <f t="shared" si="40"/>
        <v>177096.65067579012</v>
      </c>
      <c r="N33" s="78">
        <f t="shared" si="40"/>
        <v>373514.11240177794</v>
      </c>
      <c r="O33" s="78">
        <f t="shared" si="40"/>
        <v>530537.98582136224</v>
      </c>
      <c r="P33" s="78">
        <f t="shared" si="40"/>
        <v>453399.39609947713</v>
      </c>
      <c r="Q33" s="78">
        <f t="shared" si="40"/>
        <v>382920.77750021423</v>
      </c>
      <c r="R33" s="78">
        <f t="shared" si="40"/>
        <v>356593.03441324137</v>
      </c>
      <c r="S33" s="78">
        <f t="shared" si="40"/>
        <v>231548.3884377307</v>
      </c>
      <c r="T33" s="78">
        <f t="shared" si="40"/>
        <v>131664.7057929156</v>
      </c>
      <c r="U33" s="223">
        <f>U31*U32+25760.07</f>
        <v>110303.2036086228</v>
      </c>
      <c r="V33" s="30">
        <f>SUM(D33:F33)</f>
        <v>884506.54936314549</v>
      </c>
      <c r="W33" s="30">
        <f>SUM(G33:I33)</f>
        <v>329581.49925933464</v>
      </c>
      <c r="X33" s="30">
        <f>SUM(J33:L33)</f>
        <v>163157.57732471667</v>
      </c>
      <c r="Y33" s="30">
        <f>SUM(M33:O33)</f>
        <v>1081148.7488989304</v>
      </c>
      <c r="Z33" s="30">
        <f>SUM(P33:R33)</f>
        <v>1192913.2080129327</v>
      </c>
      <c r="AA33" s="30">
        <f>SUM(S33:U33)</f>
        <v>473516.29783926904</v>
      </c>
      <c r="AB33" s="30">
        <f>SUM(D33:O33)</f>
        <v>2458394.3748461264</v>
      </c>
      <c r="AC33" s="61">
        <f>SUM(D33:U33)</f>
        <v>4124823.8806983279</v>
      </c>
    </row>
    <row r="34" spans="1:35" ht="6" customHeight="1">
      <c r="A34" s="28">
        <v>25</v>
      </c>
      <c r="B34" s="13"/>
      <c r="C34" s="28"/>
      <c r="D34" s="79"/>
      <c r="E34" s="79"/>
      <c r="F34" s="79"/>
      <c r="G34" s="79"/>
      <c r="H34" s="79"/>
      <c r="I34" s="139"/>
      <c r="J34" s="79"/>
      <c r="K34" s="79"/>
      <c r="L34" s="79"/>
      <c r="M34" s="79"/>
      <c r="N34" s="79"/>
      <c r="O34" s="79"/>
      <c r="P34" s="79"/>
      <c r="Q34" s="79"/>
      <c r="R34" s="79"/>
      <c r="S34" s="79"/>
      <c r="T34" s="79"/>
      <c r="U34" s="79"/>
      <c r="V34" s="30"/>
      <c r="W34" s="30"/>
      <c r="X34" s="30"/>
      <c r="Y34" s="30"/>
      <c r="Z34" s="30"/>
      <c r="AA34" s="30"/>
      <c r="AB34" s="30"/>
      <c r="AC34" s="61"/>
    </row>
    <row r="35" spans="1:35">
      <c r="A35" s="49">
        <v>26</v>
      </c>
      <c r="B35" s="13" t="s">
        <v>30</v>
      </c>
      <c r="C35" s="28" t="s">
        <v>75</v>
      </c>
      <c r="D35" s="104">
        <v>373823.28</v>
      </c>
      <c r="E35" s="104">
        <v>352582.88</v>
      </c>
      <c r="F35" s="104">
        <v>315336.98</v>
      </c>
      <c r="G35" s="104">
        <v>271277.03999999998</v>
      </c>
      <c r="H35" s="104">
        <v>158016.29999999999</v>
      </c>
      <c r="I35" s="154">
        <v>123632.52</v>
      </c>
      <c r="J35" s="104">
        <v>95908.59</v>
      </c>
      <c r="K35" s="104">
        <v>84631.88</v>
      </c>
      <c r="L35" s="104">
        <v>91898.71</v>
      </c>
      <c r="M35" s="104">
        <v>139700.35999999999</v>
      </c>
      <c r="N35" s="104">
        <v>344701.52</v>
      </c>
      <c r="O35" s="104">
        <v>476349.64</v>
      </c>
      <c r="P35" s="104">
        <v>540970.9</v>
      </c>
      <c r="Q35" s="104">
        <v>538329.63</v>
      </c>
      <c r="R35" s="104">
        <v>466188.53</v>
      </c>
      <c r="S35" s="104">
        <v>336881.05</v>
      </c>
      <c r="T35" s="104">
        <v>198368.51</v>
      </c>
      <c r="U35" s="104">
        <v>150137.01</v>
      </c>
      <c r="V35" s="30">
        <f>SUM(D35:F35)</f>
        <v>1041743.14</v>
      </c>
      <c r="W35" s="30">
        <f>SUM(G35:I35)</f>
        <v>552925.86</v>
      </c>
      <c r="X35" s="30">
        <f>SUM(J35:L35)</f>
        <v>272439.18</v>
      </c>
      <c r="Y35" s="30">
        <f>SUM(M35:O35)</f>
        <v>960751.52</v>
      </c>
      <c r="Z35" s="30">
        <f>SUM(P35:R35)</f>
        <v>1545489.06</v>
      </c>
      <c r="AA35" s="30">
        <f>SUM(S35:U35)</f>
        <v>685386.57000000007</v>
      </c>
      <c r="AB35" s="30">
        <f>SUM(D35:O35)</f>
        <v>2827859.7</v>
      </c>
      <c r="AC35" s="61">
        <f>SUM(D35:U35)</f>
        <v>5058735.3299999991</v>
      </c>
    </row>
    <row r="36" spans="1:35">
      <c r="A36" s="28">
        <v>27</v>
      </c>
      <c r="B36" s="13" t="s">
        <v>20</v>
      </c>
      <c r="C36" s="28" t="s">
        <v>75</v>
      </c>
      <c r="D36" s="104">
        <v>37891.4</v>
      </c>
      <c r="E36" s="104">
        <v>38942</v>
      </c>
      <c r="F36" s="104">
        <v>39611.4</v>
      </c>
      <c r="G36" s="104">
        <v>40632.400000000001</v>
      </c>
      <c r="H36" s="104">
        <v>41577.599999999999</v>
      </c>
      <c r="I36" s="154">
        <v>42724</v>
      </c>
      <c r="J36" s="104">
        <v>44138.36</v>
      </c>
      <c r="K36" s="104">
        <v>44740.800000000003</v>
      </c>
      <c r="L36" s="104">
        <v>46198</v>
      </c>
      <c r="M36" s="104">
        <v>46742.400000000001</v>
      </c>
      <c r="N36" s="104">
        <v>48580</v>
      </c>
      <c r="O36" s="104">
        <v>50122</v>
      </c>
      <c r="P36" s="104">
        <v>51797.599999999999</v>
      </c>
      <c r="Q36" s="104">
        <v>50851.199999999997</v>
      </c>
      <c r="R36" s="104">
        <v>55112.2</v>
      </c>
      <c r="S36" s="104">
        <v>55090.400000000001</v>
      </c>
      <c r="T36" s="104">
        <v>55733.4</v>
      </c>
      <c r="U36" s="104">
        <v>57826.6</v>
      </c>
      <c r="V36" s="30">
        <f>SUM(D36:F36)</f>
        <v>116444.79999999999</v>
      </c>
      <c r="W36" s="30">
        <f>SUM(G36:I36)</f>
        <v>124934</v>
      </c>
      <c r="X36" s="30">
        <f>SUM(J36:L36)</f>
        <v>135077.16</v>
      </c>
      <c r="Y36" s="30">
        <f>SUM(M36:O36)</f>
        <v>145444.4</v>
      </c>
      <c r="Z36" s="30">
        <f t="shared" ref="Z36" si="41">SUM(P36:R36)</f>
        <v>157761</v>
      </c>
      <c r="AA36" s="30">
        <f t="shared" ref="AA36:AA37" si="42">SUM(S36:U36)</f>
        <v>168650.4</v>
      </c>
      <c r="AB36" s="30">
        <f>SUM(D36:O36)</f>
        <v>521900.36</v>
      </c>
      <c r="AC36" s="61">
        <f t="shared" ref="AC36:AC37" si="43">SUM(D36:U36)</f>
        <v>848311.75999999989</v>
      </c>
    </row>
    <row r="37" spans="1:35">
      <c r="A37" s="49">
        <v>28</v>
      </c>
      <c r="B37" s="2" t="s">
        <v>106</v>
      </c>
      <c r="C37" s="28" t="s">
        <v>75</v>
      </c>
      <c r="D37" s="102">
        <v>723102.68119000003</v>
      </c>
      <c r="E37" s="102">
        <v>675123.45554</v>
      </c>
      <c r="F37" s="102">
        <v>593505.84268999996</v>
      </c>
      <c r="G37" s="102">
        <v>496470.18868999998</v>
      </c>
      <c r="H37" s="102">
        <v>250633.01908999999</v>
      </c>
      <c r="I37" s="153">
        <v>174161.19488</v>
      </c>
      <c r="J37" s="102">
        <v>111439.10288000001</v>
      </c>
      <c r="K37" s="102">
        <v>86280.597829999999</v>
      </c>
      <c r="L37" s="102">
        <v>98691.59014</v>
      </c>
      <c r="M37" s="102">
        <v>200096</v>
      </c>
      <c r="N37" s="102">
        <v>637407.83308999997</v>
      </c>
      <c r="O37" s="102">
        <v>917468.64702000003</v>
      </c>
      <c r="P37" s="102">
        <v>1052963.0227000001</v>
      </c>
      <c r="Q37" s="102">
        <v>1049311.1520400001</v>
      </c>
      <c r="R37" s="102">
        <v>884853.58672000002</v>
      </c>
      <c r="S37" s="102">
        <v>606561.09783999994</v>
      </c>
      <c r="T37" s="102">
        <v>307023.02</v>
      </c>
      <c r="U37" s="102">
        <v>198710.51694</v>
      </c>
      <c r="V37" s="30">
        <f>SUM(D37:F37)</f>
        <v>1991731.9794199998</v>
      </c>
      <c r="W37" s="30">
        <f>SUM(G37:I37)</f>
        <v>921264.40265999991</v>
      </c>
      <c r="X37" s="30">
        <f>SUM(J37:L37)</f>
        <v>296411.29084999999</v>
      </c>
      <c r="Y37" s="30">
        <f>SUM(M37:O37)</f>
        <v>1754972.4801099999</v>
      </c>
      <c r="Z37" s="30">
        <f>SUM(P37:R37)</f>
        <v>2987127.7614600002</v>
      </c>
      <c r="AA37" s="30">
        <f t="shared" si="42"/>
        <v>1112294.63478</v>
      </c>
      <c r="AB37" s="30">
        <f>SUM(D37:O37)</f>
        <v>4964380.1530399993</v>
      </c>
      <c r="AC37" s="61">
        <f t="shared" si="43"/>
        <v>9063802.549279999</v>
      </c>
    </row>
    <row r="38" spans="1:35" hidden="1">
      <c r="A38" s="28">
        <v>29</v>
      </c>
      <c r="B38" s="13"/>
      <c r="C38" s="28"/>
      <c r="D38" s="80"/>
      <c r="E38" s="80"/>
      <c r="F38" s="80"/>
      <c r="G38" s="80"/>
      <c r="H38" s="80"/>
      <c r="I38" s="140"/>
      <c r="J38" s="80"/>
      <c r="K38" s="80"/>
      <c r="L38" s="80"/>
      <c r="M38" s="80"/>
      <c r="N38" s="80"/>
      <c r="O38" s="80"/>
      <c r="P38" s="80"/>
      <c r="Q38" s="80"/>
      <c r="R38" s="80"/>
      <c r="S38" s="80"/>
      <c r="T38" s="80"/>
      <c r="U38" s="80"/>
      <c r="AC38" s="162">
        <f>AC39/AC37</f>
        <v>0</v>
      </c>
    </row>
    <row r="39" spans="1:35" ht="6" customHeight="1">
      <c r="A39" s="49">
        <v>30</v>
      </c>
      <c r="B39" s="13"/>
      <c r="C39" s="28"/>
      <c r="D39" s="78"/>
      <c r="E39" s="78"/>
      <c r="F39" s="78"/>
      <c r="G39" s="78"/>
      <c r="H39" s="78"/>
      <c r="I39" s="94"/>
      <c r="J39" s="78"/>
      <c r="K39" s="78"/>
      <c r="L39" s="78"/>
      <c r="M39" s="78"/>
      <c r="N39" s="78"/>
      <c r="O39" s="78"/>
      <c r="P39" s="78"/>
      <c r="Q39" s="78"/>
      <c r="R39" s="78"/>
      <c r="S39" s="78"/>
      <c r="T39" s="78"/>
      <c r="U39" s="78"/>
      <c r="AC39" s="125"/>
    </row>
    <row r="40" spans="1:35">
      <c r="A40" s="28">
        <v>31</v>
      </c>
      <c r="B40" s="82" t="s">
        <v>107</v>
      </c>
      <c r="C40" s="28" t="s">
        <v>93</v>
      </c>
      <c r="D40" s="80">
        <v>2.5991E-2</v>
      </c>
      <c r="E40" s="80">
        <v>2.5991E-2</v>
      </c>
      <c r="F40" s="80">
        <v>2.5991E-2</v>
      </c>
      <c r="G40" s="80">
        <v>2.5991E-2</v>
      </c>
      <c r="H40" s="80">
        <v>2.5991E-2</v>
      </c>
      <c r="I40" s="140">
        <v>2.5991E-2</v>
      </c>
      <c r="J40" s="80">
        <v>2.5991E-2</v>
      </c>
      <c r="K40" s="80">
        <v>2.5991E-2</v>
      </c>
      <c r="L40" s="80">
        <v>2.5991E-2</v>
      </c>
      <c r="M40" s="80">
        <v>2.5991E-2</v>
      </c>
      <c r="N40" s="80">
        <v>2.5991E-2</v>
      </c>
      <c r="O40" s="80">
        <v>2.5991E-2</v>
      </c>
      <c r="P40" s="80">
        <v>2.5991E-2</v>
      </c>
      <c r="Q40" s="80">
        <v>2.5991E-2</v>
      </c>
      <c r="R40" s="80">
        <v>2.5991E-2</v>
      </c>
      <c r="S40" s="80">
        <v>2.5991E-2</v>
      </c>
      <c r="T40" s="80">
        <v>2.5991E-2</v>
      </c>
      <c r="U40" s="80">
        <v>2.5991E-2</v>
      </c>
      <c r="V40" s="80">
        <v>2.5991E-2</v>
      </c>
      <c r="W40" s="80">
        <v>2.5991E-2</v>
      </c>
      <c r="X40" s="80">
        <v>2.5991E-2</v>
      </c>
      <c r="Y40" s="80">
        <v>2.5991E-2</v>
      </c>
      <c r="Z40" s="80">
        <v>2.5991E-2</v>
      </c>
      <c r="AA40" s="80">
        <v>2.5991E-2</v>
      </c>
      <c r="AB40" s="80">
        <v>2.5991E-2</v>
      </c>
      <c r="AC40" s="80">
        <f>AC41/AC37</f>
        <v>2.5991E-2</v>
      </c>
    </row>
    <row r="41" spans="1:35">
      <c r="A41" s="49">
        <v>32</v>
      </c>
      <c r="B41" s="82" t="s">
        <v>108</v>
      </c>
      <c r="C41" s="28" t="str">
        <f>"("&amp;A39&amp;") x ("&amp;A40&amp;")"</f>
        <v>(30) x (31)</v>
      </c>
      <c r="D41" s="78">
        <f t="shared" ref="D41:I41" si="44">D37*D40</f>
        <v>18794.161786809291</v>
      </c>
      <c r="E41" s="78">
        <f t="shared" si="44"/>
        <v>17547.133732940139</v>
      </c>
      <c r="F41" s="78">
        <f t="shared" si="44"/>
        <v>15425.810357355789</v>
      </c>
      <c r="G41" s="78">
        <f t="shared" si="44"/>
        <v>12903.756674241789</v>
      </c>
      <c r="H41" s="78">
        <f t="shared" si="44"/>
        <v>6514.2027991681898</v>
      </c>
      <c r="I41" s="94">
        <f t="shared" si="44"/>
        <v>4526.6236161260795</v>
      </c>
      <c r="J41" s="78">
        <f>J37*J40</f>
        <v>2896.4137229540802</v>
      </c>
      <c r="K41" s="78">
        <f t="shared" ref="K41:O41" si="45">K37*K40</f>
        <v>2242.5190181995299</v>
      </c>
      <c r="L41" s="78">
        <f t="shared" si="45"/>
        <v>2565.0931193287402</v>
      </c>
      <c r="M41" s="78">
        <f t="shared" si="45"/>
        <v>5200.6951360000003</v>
      </c>
      <c r="N41" s="78">
        <f t="shared" si="45"/>
        <v>16566.86698984219</v>
      </c>
      <c r="O41" s="78">
        <f t="shared" si="45"/>
        <v>23845.927604696823</v>
      </c>
      <c r="P41" s="78">
        <f t="shared" ref="P41:U41" si="46">P37*P40</f>
        <v>27367.561922995701</v>
      </c>
      <c r="Q41" s="78">
        <f t="shared" si="46"/>
        <v>27272.646152671641</v>
      </c>
      <c r="R41" s="78">
        <f t="shared" si="46"/>
        <v>22998.229572439519</v>
      </c>
      <c r="S41" s="78">
        <f t="shared" si="46"/>
        <v>15765.129493959439</v>
      </c>
      <c r="T41" s="78">
        <f t="shared" si="46"/>
        <v>7979.8353128200006</v>
      </c>
      <c r="U41" s="78">
        <f t="shared" si="46"/>
        <v>5164.6850457875398</v>
      </c>
      <c r="V41" s="30">
        <f>SUM(D41:F41)</f>
        <v>51767.105877105219</v>
      </c>
      <c r="W41" s="30">
        <f>SUM(G41:I41)</f>
        <v>23944.58308953606</v>
      </c>
      <c r="X41" s="30">
        <f>SUM(J41:L41)</f>
        <v>7704.0258604823503</v>
      </c>
      <c r="Y41" s="30">
        <f>SUM(M41:O41)</f>
        <v>45613.489730539011</v>
      </c>
      <c r="Z41" s="30">
        <f>SUM(P41:R41)</f>
        <v>77638.437648106861</v>
      </c>
      <c r="AA41" s="30">
        <f>SUM(S41:U41)</f>
        <v>28909.649852566981</v>
      </c>
      <c r="AB41" s="30">
        <f>SUM(D41:O41)</f>
        <v>129029.20455766263</v>
      </c>
      <c r="AC41" s="61">
        <f>SUM(D41:U41)</f>
        <v>235577.29205833646</v>
      </c>
    </row>
    <row r="42" spans="1:35">
      <c r="A42" s="28">
        <v>33</v>
      </c>
      <c r="B42" s="13" t="s">
        <v>88</v>
      </c>
      <c r="C42" s="28" t="str">
        <f>"("&amp;A35&amp;") - ("&amp;A36&amp;") - ("&amp;A39&amp;") - ("&amp;A41&amp;")"</f>
        <v>(26) - (27) - (30) - (32)</v>
      </c>
      <c r="D42" s="78">
        <f t="shared" ref="D42:I42" si="47">D35-D36-D39-D41</f>
        <v>317137.71821319073</v>
      </c>
      <c r="E42" s="78">
        <f t="shared" si="47"/>
        <v>296093.74626705988</v>
      </c>
      <c r="F42" s="78">
        <f t="shared" si="47"/>
        <v>260299.76964264415</v>
      </c>
      <c r="G42" s="78">
        <f t="shared" si="47"/>
        <v>217740.88332575819</v>
      </c>
      <c r="H42" s="78">
        <f t="shared" si="47"/>
        <v>109924.4972008318</v>
      </c>
      <c r="I42" s="94">
        <f t="shared" si="47"/>
        <v>76381.896383873929</v>
      </c>
      <c r="J42" s="78">
        <f t="shared" ref="J42:O42" si="48">J35-J36-J39-J41</f>
        <v>48873.816277045917</v>
      </c>
      <c r="K42" s="78">
        <f t="shared" si="48"/>
        <v>37648.560981800474</v>
      </c>
      <c r="L42" s="78">
        <f t="shared" si="48"/>
        <v>43135.616880671267</v>
      </c>
      <c r="M42" s="78">
        <f t="shared" si="48"/>
        <v>87757.264863999997</v>
      </c>
      <c r="N42" s="78">
        <f t="shared" si="48"/>
        <v>279554.65301015781</v>
      </c>
      <c r="O42" s="78">
        <f t="shared" si="48"/>
        <v>402381.71239530318</v>
      </c>
      <c r="P42" s="78">
        <f t="shared" ref="P42:U42" si="49">P35-P36-P39-P41</f>
        <v>461805.73807700432</v>
      </c>
      <c r="Q42" s="78">
        <f t="shared" si="49"/>
        <v>460205.78384732833</v>
      </c>
      <c r="R42" s="78">
        <f t="shared" si="49"/>
        <v>388078.10042756051</v>
      </c>
      <c r="S42" s="78">
        <f t="shared" si="49"/>
        <v>266025.52050604054</v>
      </c>
      <c r="T42" s="78">
        <f t="shared" si="49"/>
        <v>134655.27468718</v>
      </c>
      <c r="U42" s="78">
        <f t="shared" si="49"/>
        <v>87145.724954212463</v>
      </c>
      <c r="V42" s="30">
        <f>SUM(D42:F42)</f>
        <v>873531.2341228947</v>
      </c>
      <c r="W42" s="30">
        <f>SUM(G42:I42)</f>
        <v>404047.27691046393</v>
      </c>
      <c r="X42" s="30">
        <f>SUM(J42:L42)</f>
        <v>129657.99413951766</v>
      </c>
      <c r="Y42" s="30">
        <f>SUM(M42:O42)</f>
        <v>769693.63026946096</v>
      </c>
      <c r="Z42" s="30">
        <f>SUM(P42:R42)</f>
        <v>1310089.6223518932</v>
      </c>
      <c r="AA42" s="30">
        <f>SUM(S42:U42)</f>
        <v>487826.52014743304</v>
      </c>
      <c r="AB42" s="30">
        <f>SUM(D42:O42)</f>
        <v>2176930.1354423375</v>
      </c>
      <c r="AC42" s="61">
        <f>SUM(D42:U42)</f>
        <v>3974846.2779416637</v>
      </c>
    </row>
    <row r="43" spans="1:35">
      <c r="A43" s="49">
        <v>34</v>
      </c>
      <c r="B43" s="3" t="s">
        <v>21</v>
      </c>
      <c r="C43" s="28"/>
      <c r="D43" s="81">
        <f t="shared" ref="D43:I43" si="50">D42/D31</f>
        <v>49.260285525503377</v>
      </c>
      <c r="E43" s="81">
        <f t="shared" si="50"/>
        <v>44.626035609202695</v>
      </c>
      <c r="F43" s="81">
        <f t="shared" si="50"/>
        <v>38.335753997443909</v>
      </c>
      <c r="G43" s="81">
        <f t="shared" si="50"/>
        <v>31.302599673053219</v>
      </c>
      <c r="H43" s="81">
        <f t="shared" si="50"/>
        <v>15.402059296739779</v>
      </c>
      <c r="I43" s="141">
        <f t="shared" si="50"/>
        <v>10.438963562098392</v>
      </c>
      <c r="J43" s="81">
        <f t="shared" ref="J43:O43" si="51">J42/J31</f>
        <v>6.4879618049974663</v>
      </c>
      <c r="K43" s="81">
        <f t="shared" si="51"/>
        <v>4.880549777262182</v>
      </c>
      <c r="L43" s="81">
        <f t="shared" si="51"/>
        <v>5.4238170351655057</v>
      </c>
      <c r="M43" s="81">
        <f t="shared" si="51"/>
        <v>10.866427051015354</v>
      </c>
      <c r="N43" s="81">
        <f t="shared" si="51"/>
        <v>33.427556260930025</v>
      </c>
      <c r="O43" s="81">
        <f t="shared" si="51"/>
        <v>46.914038987443533</v>
      </c>
      <c r="P43" s="81">
        <f t="shared" ref="P43:U43" si="52">P42/P31</f>
        <v>52.965447651910118</v>
      </c>
      <c r="Q43" s="81">
        <f t="shared" si="52"/>
        <v>53.202980791598648</v>
      </c>
      <c r="R43" s="81">
        <f t="shared" si="52"/>
        <v>41.031729797796629</v>
      </c>
      <c r="S43" s="81">
        <f t="shared" si="52"/>
        <v>28.058803977010921</v>
      </c>
      <c r="T43" s="81">
        <f t="shared" si="52"/>
        <v>14.023669515432202</v>
      </c>
      <c r="U43" s="81">
        <f t="shared" si="52"/>
        <v>8.7110880601971665</v>
      </c>
      <c r="V43" s="67">
        <f>V42/V31</f>
        <v>43.977809702607594</v>
      </c>
      <c r="W43" s="67">
        <f t="shared" ref="W43:AC43" si="53">W42/W31</f>
        <v>18.871895231689113</v>
      </c>
      <c r="X43" s="67">
        <f>X42/X31</f>
        <v>5.588706643944727</v>
      </c>
      <c r="Y43" s="67">
        <f t="shared" si="53"/>
        <v>30.768053656438319</v>
      </c>
      <c r="Z43" s="67">
        <f t="shared" ref="Z43:AA43" si="54">Z42/Z31</f>
        <v>48.83474195220834</v>
      </c>
      <c r="AA43" s="67">
        <f t="shared" si="54"/>
        <v>16.771290272198339</v>
      </c>
      <c r="AB43" s="67">
        <f t="shared" si="53"/>
        <v>24.326231552954415</v>
      </c>
      <c r="AC43" s="63">
        <f t="shared" si="53"/>
        <v>27.336755623623059</v>
      </c>
    </row>
    <row r="44" spans="1:35">
      <c r="A44" s="28">
        <v>35</v>
      </c>
      <c r="B44" s="13" t="s">
        <v>95</v>
      </c>
      <c r="C44" s="28" t="str">
        <f>"("&amp;A$18&amp;") - ("&amp;A42&amp;")"</f>
        <v>(9) - (33)</v>
      </c>
      <c r="D44" s="78">
        <f t="shared" ref="D44:I44" si="55">D33-D42</f>
        <v>17646.696523411374</v>
      </c>
      <c r="E44" s="78">
        <f t="shared" si="55"/>
        <v>-2373.5891903059673</v>
      </c>
      <c r="F44" s="78">
        <f t="shared" si="55"/>
        <v>-4297.792092854681</v>
      </c>
      <c r="G44" s="78">
        <f t="shared" si="55"/>
        <v>-47858.952097738482</v>
      </c>
      <c r="H44" s="78">
        <f t="shared" si="55"/>
        <v>-12060.40584027789</v>
      </c>
      <c r="I44" s="94">
        <f t="shared" si="55"/>
        <v>-14546.419713112926</v>
      </c>
      <c r="J44" s="78">
        <f t="shared" ref="J44:O44" si="56">J33-J42</f>
        <v>1284.6786958371886</v>
      </c>
      <c r="K44" s="78">
        <f t="shared" si="56"/>
        <v>13147.030544979432</v>
      </c>
      <c r="L44" s="78">
        <f t="shared" si="56"/>
        <v>19067.873944382372</v>
      </c>
      <c r="M44" s="78">
        <f t="shared" si="56"/>
        <v>89339.385811790125</v>
      </c>
      <c r="N44" s="78">
        <f t="shared" si="56"/>
        <v>93959.459391620127</v>
      </c>
      <c r="O44" s="78">
        <f t="shared" si="56"/>
        <v>128156.27342605905</v>
      </c>
      <c r="P44" s="78">
        <f t="shared" ref="P44:U44" si="57">P33-P42</f>
        <v>-8406.3419775271905</v>
      </c>
      <c r="Q44" s="78">
        <f t="shared" si="57"/>
        <v>-77285.006347114104</v>
      </c>
      <c r="R44" s="78">
        <f t="shared" si="57"/>
        <v>-31485.066014319134</v>
      </c>
      <c r="S44" s="78">
        <f t="shared" si="57"/>
        <v>-34477.132068309846</v>
      </c>
      <c r="T44" s="78">
        <f t="shared" si="57"/>
        <v>-2990.5688942644047</v>
      </c>
      <c r="U44" s="78">
        <f t="shared" si="57"/>
        <v>23157.478654410341</v>
      </c>
      <c r="V44" s="30">
        <f>SUM(D44:F44)</f>
        <v>10975.315240250726</v>
      </c>
      <c r="W44" s="30">
        <f>SUM(G44:I44)</f>
        <v>-74465.77765112929</v>
      </c>
      <c r="X44" s="30">
        <f>SUM(J44:L44)</f>
        <v>33499.583185198993</v>
      </c>
      <c r="Y44" s="30">
        <f>SUM(M44:O44)</f>
        <v>311455.1186294693</v>
      </c>
      <c r="Z44" s="30">
        <f>SUM(P44:R44)</f>
        <v>-117176.41433896043</v>
      </c>
      <c r="AA44" s="30">
        <f>SUM(S44:U44)</f>
        <v>-14310.222308163909</v>
      </c>
      <c r="AB44" s="30">
        <f>SUM(D44:O44)</f>
        <v>281464.23940378975</v>
      </c>
      <c r="AC44" s="61">
        <f>SUM(D44:U44)</f>
        <v>149977.60275666541</v>
      </c>
    </row>
    <row r="45" spans="1:35">
      <c r="A45" s="49">
        <v>36</v>
      </c>
      <c r="B45" s="13"/>
      <c r="C45" s="28"/>
      <c r="D45" s="78"/>
      <c r="E45" s="78"/>
      <c r="F45" s="78"/>
      <c r="G45" s="78"/>
      <c r="H45" s="78"/>
      <c r="I45" s="94"/>
      <c r="J45" s="78"/>
      <c r="K45" s="78"/>
      <c r="L45" s="78"/>
      <c r="M45" s="78"/>
      <c r="N45" s="78"/>
      <c r="O45" s="78"/>
      <c r="P45" s="78"/>
      <c r="Q45" s="78"/>
      <c r="R45" s="78"/>
      <c r="S45" s="78"/>
      <c r="T45" s="78"/>
      <c r="U45" s="78"/>
      <c r="AC45" s="31"/>
    </row>
    <row r="46" spans="1:35">
      <c r="A46" s="83">
        <v>37</v>
      </c>
      <c r="B46" s="84" t="s">
        <v>96</v>
      </c>
      <c r="C46" s="83" t="str">
        <f>"("&amp;A$27&amp;") + ("&amp;A44&amp;")"</f>
        <v>(18) + (35)</v>
      </c>
      <c r="D46" s="85">
        <f t="shared" ref="D46:I46" si="58">D27+D44</f>
        <v>-101433.68210591358</v>
      </c>
      <c r="E46" s="85">
        <f t="shared" si="58"/>
        <v>-192122.04897339531</v>
      </c>
      <c r="F46" s="85">
        <f t="shared" si="58"/>
        <v>-188541.45070361445</v>
      </c>
      <c r="G46" s="85">
        <f t="shared" si="58"/>
        <v>-108448.79907545223</v>
      </c>
      <c r="H46" s="85">
        <f t="shared" si="58"/>
        <v>-41957.478891126331</v>
      </c>
      <c r="I46" s="143">
        <f t="shared" si="58"/>
        <v>-30669.463296589842</v>
      </c>
      <c r="J46" s="85">
        <f t="shared" ref="J46:O46" si="59">J27+J44</f>
        <v>-46888.195622747378</v>
      </c>
      <c r="K46" s="85">
        <f t="shared" si="59"/>
        <v>81575.971245770284</v>
      </c>
      <c r="L46" s="85">
        <f t="shared" si="59"/>
        <v>65697.716510391285</v>
      </c>
      <c r="M46" s="85">
        <f t="shared" si="59"/>
        <v>-380759.63627047371</v>
      </c>
      <c r="N46" s="85">
        <f t="shared" si="59"/>
        <v>-32104.623295158031</v>
      </c>
      <c r="O46" s="85">
        <f t="shared" si="59"/>
        <v>1023288.6541769508</v>
      </c>
      <c r="P46" s="85">
        <f t="shared" ref="P46:U46" si="60">P27+P44</f>
        <v>67896.534595424484</v>
      </c>
      <c r="Q46" s="85">
        <f t="shared" si="60"/>
        <v>-939035.27503823244</v>
      </c>
      <c r="R46" s="85">
        <f t="shared" si="60"/>
        <v>222135.39489302697</v>
      </c>
      <c r="S46" s="85">
        <f t="shared" si="60"/>
        <v>95557.236295813316</v>
      </c>
      <c r="T46" s="85">
        <f t="shared" si="60"/>
        <v>106138.75805622851</v>
      </c>
      <c r="U46" s="85">
        <f t="shared" si="60"/>
        <v>86337.778961964534</v>
      </c>
      <c r="V46" s="85">
        <f>SUM(D46:F46)</f>
        <v>-482097.18178292335</v>
      </c>
      <c r="W46" s="85">
        <f>SUM(G46:I46)</f>
        <v>-181075.7412631684</v>
      </c>
      <c r="X46" s="85">
        <f>SUM(J46:L46)</f>
        <v>100385.4921334142</v>
      </c>
      <c r="Y46" s="85">
        <f>SUM(M46:O46)</f>
        <v>610424.39461131906</v>
      </c>
      <c r="Z46" s="85">
        <f>SUM(P46:R46)</f>
        <v>-649003.34554978111</v>
      </c>
      <c r="AA46" s="85">
        <f>SUM(S46:U46)</f>
        <v>288033.77331400639</v>
      </c>
      <c r="AB46" s="85">
        <f>SUM(D46:O46)</f>
        <v>47636.96369864163</v>
      </c>
      <c r="AC46" s="85">
        <f>SUM(D46:U46)</f>
        <v>-313332.60853713308</v>
      </c>
      <c r="AD46" s="109"/>
      <c r="AE46" s="109"/>
      <c r="AF46" s="109"/>
      <c r="AG46" s="109"/>
      <c r="AH46" s="109"/>
      <c r="AI46" s="109"/>
    </row>
    <row r="47" spans="1:35">
      <c r="A47" s="86">
        <v>38</v>
      </c>
      <c r="B47" s="84" t="s">
        <v>22</v>
      </c>
      <c r="C47" s="87" t="s">
        <v>23</v>
      </c>
      <c r="D47" s="85">
        <f>D46*-0.005839</f>
        <v>592.27126981642937</v>
      </c>
      <c r="E47" s="85">
        <f>E46*-0.005839</f>
        <v>1121.8006439556552</v>
      </c>
      <c r="F47" s="85">
        <f>F46*-0.005839</f>
        <v>1100.8935306584046</v>
      </c>
      <c r="G47" s="85">
        <f t="shared" ref="G47:O47" si="61">G46*-0.005839</f>
        <v>633.23253780156551</v>
      </c>
      <c r="H47" s="85">
        <f t="shared" si="61"/>
        <v>244.98971924528664</v>
      </c>
      <c r="I47" s="85">
        <f t="shared" si="61"/>
        <v>179.07899618878807</v>
      </c>
      <c r="J47" s="85">
        <f t="shared" si="61"/>
        <v>273.78017424122191</v>
      </c>
      <c r="K47" s="85">
        <f t="shared" si="61"/>
        <v>-476.32209610405266</v>
      </c>
      <c r="L47" s="85">
        <f t="shared" si="61"/>
        <v>-383.60896670417469</v>
      </c>
      <c r="M47" s="85">
        <f t="shared" si="61"/>
        <v>2223.2555161832956</v>
      </c>
      <c r="N47" s="85">
        <f t="shared" si="61"/>
        <v>187.45889542042772</v>
      </c>
      <c r="O47" s="85">
        <f t="shared" si="61"/>
        <v>-5974.9824517392153</v>
      </c>
      <c r="P47" s="85">
        <f t="shared" ref="P47:U47" si="62">P46*-0.005839</f>
        <v>-396.44786550268356</v>
      </c>
      <c r="Q47" s="85">
        <f t="shared" si="62"/>
        <v>5483.0269709482391</v>
      </c>
      <c r="R47" s="85">
        <f t="shared" si="62"/>
        <v>-1297.0485707803844</v>
      </c>
      <c r="S47" s="85">
        <f t="shared" si="62"/>
        <v>-557.95870273125388</v>
      </c>
      <c r="T47" s="85">
        <f t="shared" si="62"/>
        <v>-619.74420829031828</v>
      </c>
      <c r="U47" s="85">
        <f t="shared" si="62"/>
        <v>-504.12629135891086</v>
      </c>
      <c r="V47" s="85">
        <f>SUM(D47:F47)</f>
        <v>2814.9654444304892</v>
      </c>
      <c r="W47" s="85">
        <f>SUM(G47:I47)</f>
        <v>1057.3012532356402</v>
      </c>
      <c r="X47" s="85">
        <f>SUM(J47:L47)</f>
        <v>-586.1508885670055</v>
      </c>
      <c r="Y47" s="85">
        <f>SUM(M47:O47)</f>
        <v>-3564.2680401354919</v>
      </c>
      <c r="Z47" s="85">
        <f>SUM(P47:R47)</f>
        <v>3789.5305346651712</v>
      </c>
      <c r="AA47" s="85">
        <f>SUM(S47:U47)</f>
        <v>-1681.8292023804829</v>
      </c>
      <c r="AB47" s="85">
        <f>SUM(D47:O47)</f>
        <v>-278.15223103636799</v>
      </c>
      <c r="AC47" s="85">
        <f>SUM(D47:U47)</f>
        <v>1829.5491012483208</v>
      </c>
    </row>
    <row r="48" spans="1:35">
      <c r="A48" s="28">
        <v>39</v>
      </c>
      <c r="B48" s="13"/>
      <c r="C48" s="3" t="s">
        <v>97</v>
      </c>
      <c r="D48" s="88">
        <v>0.02</v>
      </c>
      <c r="E48" s="88">
        <f>D48</f>
        <v>0.02</v>
      </c>
      <c r="F48" s="88">
        <f t="shared" ref="F48" si="63">E48</f>
        <v>0.02</v>
      </c>
      <c r="G48" s="88">
        <f t="shared" ref="G48" si="64">F48</f>
        <v>0.02</v>
      </c>
      <c r="H48" s="88">
        <f t="shared" ref="H48" si="65">G48</f>
        <v>0.02</v>
      </c>
      <c r="I48" s="88">
        <f t="shared" ref="I48" si="66">H48</f>
        <v>0.02</v>
      </c>
      <c r="J48" s="88">
        <f t="shared" ref="J48" si="67">I48</f>
        <v>0.02</v>
      </c>
      <c r="K48" s="88">
        <f t="shared" ref="K48" si="68">J48</f>
        <v>0.02</v>
      </c>
      <c r="L48" s="88">
        <f t="shared" ref="L48" si="69">K48</f>
        <v>0.02</v>
      </c>
      <c r="M48" s="167">
        <v>0.02</v>
      </c>
      <c r="N48" s="88">
        <f t="shared" ref="N48" si="70">M48</f>
        <v>0.02</v>
      </c>
      <c r="O48" s="88">
        <f>N48</f>
        <v>0.02</v>
      </c>
      <c r="P48" s="169">
        <v>0.01</v>
      </c>
      <c r="Q48" s="88">
        <f t="shared" ref="Q48:R48" si="71">P48</f>
        <v>0.01</v>
      </c>
      <c r="R48" s="88">
        <f t="shared" si="71"/>
        <v>0.01</v>
      </c>
      <c r="S48" s="88">
        <f t="shared" ref="S48" si="72">R48</f>
        <v>0.01</v>
      </c>
      <c r="T48" s="88">
        <f t="shared" ref="T48" si="73">S48</f>
        <v>0.01</v>
      </c>
      <c r="U48" s="88">
        <f t="shared" ref="U48" si="74">T48</f>
        <v>0.01</v>
      </c>
      <c r="AC48" s="31"/>
    </row>
    <row r="49" spans="1:29">
      <c r="A49" s="86">
        <v>40</v>
      </c>
      <c r="B49" s="84" t="s">
        <v>24</v>
      </c>
      <c r="C49" s="84" t="s">
        <v>28</v>
      </c>
      <c r="D49" s="89">
        <f>(D46+D47)/2*D48/12</f>
        <v>-84.034509030080969</v>
      </c>
      <c r="E49" s="89">
        <f>(D52+(E46+E47)/2)*E48/12</f>
        <v>-327.37594918307849</v>
      </c>
      <c r="F49" s="89">
        <f t="shared" ref="F49" si="75">(E52+(F46+F47)/2)*F48/12</f>
        <v>-643.28891368371342</v>
      </c>
      <c r="G49" s="89">
        <f t="shared" ref="G49" si="76">(F52+(G46+G47)/2)*G48/12</f>
        <v>-890.40783163202514</v>
      </c>
      <c r="H49" s="89">
        <f t="shared" ref="H49" si="77">(G52+(H46+H47)/2)*H48/12</f>
        <v>-1016.4985577760216</v>
      </c>
      <c r="I49" s="144">
        <f t="shared" ref="I49" si="78">(H52+(I46+I47)/2)*I48/12</f>
        <v>-1078.3617832658833</v>
      </c>
      <c r="J49" s="89">
        <f t="shared" ref="J49:N49" si="79">(I52+(J46+J47)/2)*J48/12</f>
        <v>-1144.4130526954157</v>
      </c>
      <c r="K49" s="89">
        <f t="shared" si="79"/>
        <v>-1117.5827130322748</v>
      </c>
      <c r="L49" s="89">
        <f>(K52+(L46+L47)/2)*L48/12</f>
        <v>-997.43388697620094</v>
      </c>
      <c r="M49" s="89">
        <f t="shared" si="79"/>
        <v>-1260.114837796664</v>
      </c>
      <c r="N49" s="89">
        <f t="shared" si="79"/>
        <v>-1604.2596501546816</v>
      </c>
      <c r="O49" s="89">
        <f>(N52+(O46+O47)/2)*O48/12</f>
        <v>-785.76966013371145</v>
      </c>
      <c r="P49" s="89">
        <f t="shared" ref="P49:U49" si="80">(O52+(P46+P47)/2)*P48/12</f>
        <v>58.466094572671814</v>
      </c>
      <c r="Q49" s="89">
        <f t="shared" si="80"/>
        <v>-302.34025090575199</v>
      </c>
      <c r="R49" s="89">
        <f t="shared" si="80"/>
        <v>-599.55632684193915</v>
      </c>
      <c r="S49" s="89">
        <f t="shared" si="80"/>
        <v>-468.45694714958722</v>
      </c>
      <c r="T49" s="89">
        <f t="shared" si="80"/>
        <v>-385.29803983845341</v>
      </c>
      <c r="U49" s="89">
        <f t="shared" si="80"/>
        <v>-305.88884382225882</v>
      </c>
      <c r="V49" s="89">
        <f>SUM(D49:F49)</f>
        <v>-1054.6993718968729</v>
      </c>
      <c r="W49" s="89">
        <f>SUM(G49:I49)</f>
        <v>-2985.2681726739302</v>
      </c>
      <c r="X49" s="89">
        <f>SUM(J49:L49)</f>
        <v>-3259.4296527038914</v>
      </c>
      <c r="Y49" s="89">
        <f>SUM(M49:O49)</f>
        <v>-3650.1441480850572</v>
      </c>
      <c r="Z49" s="89">
        <f>SUM(P49:R49)</f>
        <v>-843.43048317501939</v>
      </c>
      <c r="AA49" s="89">
        <f>SUM(S49:U49)</f>
        <v>-1159.6438308102995</v>
      </c>
      <c r="AB49" s="89">
        <f>SUM(D49:O49)</f>
        <v>-10949.541345359752</v>
      </c>
      <c r="AC49" s="89">
        <f>SUM(D49:U49)</f>
        <v>-12952.615659345071</v>
      </c>
    </row>
    <row r="50" spans="1:29">
      <c r="A50" s="90">
        <v>41</v>
      </c>
      <c r="B50" s="91" t="s">
        <v>25</v>
      </c>
      <c r="C50" s="92"/>
      <c r="D50" s="93">
        <f>D46+D47+D49</f>
        <v>-100925.44534512724</v>
      </c>
      <c r="E50" s="93">
        <f t="shared" ref="E50:I50" si="81">E46+E47+E49</f>
        <v>-191327.62427862274</v>
      </c>
      <c r="F50" s="93">
        <f t="shared" si="81"/>
        <v>-188083.84608663974</v>
      </c>
      <c r="G50" s="93">
        <f t="shared" si="81"/>
        <v>-108705.97436928269</v>
      </c>
      <c r="H50" s="93">
        <f t="shared" si="81"/>
        <v>-42728.98772965707</v>
      </c>
      <c r="I50" s="150">
        <f t="shared" si="81"/>
        <v>-31568.746083666934</v>
      </c>
      <c r="J50" s="93">
        <f t="shared" ref="J50:O50" si="82">J46+J47+J49</f>
        <v>-47758.828501201577</v>
      </c>
      <c r="K50" s="93">
        <f t="shared" si="82"/>
        <v>79982.066436633962</v>
      </c>
      <c r="L50" s="93">
        <f>L46+L47+L49</f>
        <v>64316.673656710911</v>
      </c>
      <c r="M50" s="93">
        <f t="shared" si="82"/>
        <v>-379796.4955920871</v>
      </c>
      <c r="N50" s="93">
        <f t="shared" si="82"/>
        <v>-33521.424049892288</v>
      </c>
      <c r="O50" s="93">
        <f t="shared" si="82"/>
        <v>1016527.9020650778</v>
      </c>
      <c r="P50" s="93">
        <f t="shared" ref="P50:U50" si="83">P46+P47+P49</f>
        <v>67558.552824494458</v>
      </c>
      <c r="Q50" s="93">
        <f t="shared" si="83"/>
        <v>-933854.58831818996</v>
      </c>
      <c r="R50" s="93">
        <f t="shared" si="83"/>
        <v>220238.78999540466</v>
      </c>
      <c r="S50" s="93">
        <f t="shared" si="83"/>
        <v>94530.820645932472</v>
      </c>
      <c r="T50" s="93">
        <f t="shared" si="83"/>
        <v>105133.71580809975</v>
      </c>
      <c r="U50" s="93">
        <f t="shared" si="83"/>
        <v>85527.763826783354</v>
      </c>
      <c r="V50" s="93">
        <f>V46+V47+V49</f>
        <v>-480336.91571038973</v>
      </c>
      <c r="W50" s="93">
        <f t="shared" ref="W50:AB50" si="84">W46+W47+W49</f>
        <v>-183003.7081826067</v>
      </c>
      <c r="X50" s="93">
        <f t="shared" si="84"/>
        <v>96539.911592143297</v>
      </c>
      <c r="Y50" s="93">
        <f t="shared" si="84"/>
        <v>603209.98242309853</v>
      </c>
      <c r="Z50" s="93">
        <f t="shared" ref="Z50:AA50" si="85">Z46+Z47+Z49</f>
        <v>-646057.24549829087</v>
      </c>
      <c r="AA50" s="93">
        <f t="shared" si="85"/>
        <v>285192.30028081557</v>
      </c>
      <c r="AB50" s="93">
        <f t="shared" si="84"/>
        <v>36409.270122245514</v>
      </c>
      <c r="AC50" s="93">
        <f>AC46+AC47+AC49</f>
        <v>-324455.67509522982</v>
      </c>
    </row>
    <row r="51" spans="1:29">
      <c r="A51" s="49">
        <v>42</v>
      </c>
      <c r="B51" s="13"/>
      <c r="C51" s="28"/>
      <c r="D51" s="79"/>
      <c r="E51" s="79"/>
      <c r="F51" s="79"/>
      <c r="G51" s="79"/>
      <c r="H51" s="79"/>
      <c r="I51" s="139"/>
      <c r="J51" s="79"/>
      <c r="K51" s="79"/>
      <c r="L51" s="79"/>
      <c r="M51" s="79"/>
      <c r="N51" s="79"/>
      <c r="O51" s="79"/>
      <c r="P51" s="79"/>
      <c r="Q51" s="79"/>
      <c r="R51" s="79"/>
      <c r="S51" s="79"/>
      <c r="T51" s="79"/>
      <c r="U51" s="79"/>
      <c r="AC51" s="31"/>
    </row>
    <row r="52" spans="1:29">
      <c r="A52" s="28">
        <v>43</v>
      </c>
      <c r="B52" s="13" t="s">
        <v>98</v>
      </c>
      <c r="C52" s="28" t="str">
        <f>"Σ(("&amp;A$46&amp;"), ("&amp;A47&amp;"), ("&amp;A49&amp;"))"</f>
        <v>Σ((37), (38), (40))</v>
      </c>
      <c r="D52" s="78">
        <f>D49+D47+D46</f>
        <v>-100925.44534512724</v>
      </c>
      <c r="E52" s="78">
        <f t="shared" ref="E52" si="86">D52+E46+E47+E49</f>
        <v>-292253.06962374999</v>
      </c>
      <c r="F52" s="78">
        <f t="shared" ref="F52" si="87">E52+F46+F47+F49</f>
        <v>-480336.91571038979</v>
      </c>
      <c r="G52" s="78">
        <f t="shared" ref="G52" si="88">F52+G46+G47+G49</f>
        <v>-589042.89007967245</v>
      </c>
      <c r="H52" s="78">
        <f t="shared" ref="H52" si="89">G52+H46+H47+H49</f>
        <v>-631771.87780932954</v>
      </c>
      <c r="I52" s="94">
        <f t="shared" ref="I52" si="90">H52+I46+I47+I49</f>
        <v>-663340.62389299634</v>
      </c>
      <c r="J52" s="78">
        <f t="shared" ref="J52" si="91">I52+J46+J47+J49</f>
        <v>-711099.45239419804</v>
      </c>
      <c r="K52" s="78">
        <f t="shared" ref="K52:N52" si="92">J52+K46+K47+K49</f>
        <v>-631117.38595756411</v>
      </c>
      <c r="L52" s="78">
        <f>K52+L46+L47+L49</f>
        <v>-566800.71230085322</v>
      </c>
      <c r="M52" s="78">
        <f t="shared" si="92"/>
        <v>-946597.20789294026</v>
      </c>
      <c r="N52" s="78">
        <f t="shared" si="92"/>
        <v>-980118.63194283261</v>
      </c>
      <c r="O52" s="78">
        <f>N52+O46+O47+O49</f>
        <v>36409.270122245274</v>
      </c>
      <c r="P52" s="78">
        <f t="shared" ref="P52:U52" si="93">O52+P46+P47+P49</f>
        <v>103967.82294673973</v>
      </c>
      <c r="Q52" s="78">
        <f t="shared" si="93"/>
        <v>-829886.76537145022</v>
      </c>
      <c r="R52" s="78">
        <f t="shared" si="93"/>
        <v>-609647.97537604568</v>
      </c>
      <c r="S52" s="78">
        <f t="shared" si="93"/>
        <v>-515117.15473011316</v>
      </c>
      <c r="T52" s="78">
        <f t="shared" si="93"/>
        <v>-409983.43892201339</v>
      </c>
      <c r="U52" s="78">
        <f t="shared" si="93"/>
        <v>-324455.67509522999</v>
      </c>
      <c r="AC52" s="31"/>
    </row>
    <row r="53" spans="1:29">
      <c r="A53" s="28"/>
      <c r="B53" s="13"/>
      <c r="C53" s="28"/>
      <c r="D53" s="78"/>
      <c r="E53" s="78"/>
      <c r="F53" s="78"/>
      <c r="G53" s="78"/>
      <c r="H53" s="78"/>
      <c r="I53" s="94"/>
      <c r="J53" s="78"/>
      <c r="K53" s="78"/>
      <c r="L53" s="78"/>
      <c r="M53" s="78"/>
      <c r="N53" s="78"/>
      <c r="O53" s="94"/>
      <c r="P53" s="94"/>
      <c r="Q53" s="94"/>
      <c r="R53" s="94"/>
      <c r="S53" s="94"/>
      <c r="T53" s="94"/>
      <c r="U53" s="94"/>
      <c r="AC53" s="31"/>
    </row>
    <row r="54" spans="1:29">
      <c r="A54" s="28"/>
      <c r="B54" s="1" t="s">
        <v>26</v>
      </c>
      <c r="C54" s="28"/>
      <c r="D54" s="78"/>
      <c r="E54" s="78"/>
      <c r="F54" s="78"/>
      <c r="G54" s="78"/>
      <c r="H54" s="78"/>
      <c r="I54" s="94"/>
      <c r="J54" s="78"/>
      <c r="K54" s="78"/>
      <c r="L54" s="78"/>
      <c r="M54" s="78"/>
      <c r="N54" s="78"/>
      <c r="O54" s="78"/>
      <c r="P54" s="78"/>
      <c r="Q54" s="78"/>
      <c r="R54" s="78"/>
      <c r="S54" s="78"/>
      <c r="T54" s="78"/>
      <c r="U54" s="78"/>
      <c r="AC54" s="31"/>
    </row>
    <row r="55" spans="1:29" ht="6.75" customHeight="1">
      <c r="A55" s="28"/>
      <c r="B55" s="1"/>
      <c r="C55" s="28"/>
      <c r="D55" s="78"/>
      <c r="E55" s="78"/>
      <c r="F55" s="78"/>
      <c r="G55" s="78"/>
      <c r="H55" s="78"/>
      <c r="I55" s="94"/>
      <c r="J55" s="78"/>
      <c r="K55" s="78"/>
      <c r="L55" s="78"/>
      <c r="M55" s="78"/>
      <c r="N55" s="78"/>
      <c r="O55" s="78"/>
      <c r="P55" s="78"/>
      <c r="Q55" s="78"/>
      <c r="R55" s="78"/>
      <c r="S55" s="78"/>
      <c r="T55" s="78"/>
      <c r="U55" s="78"/>
      <c r="AC55" s="60"/>
    </row>
    <row r="56" spans="1:29">
      <c r="A56" s="28">
        <v>1</v>
      </c>
      <c r="B56" s="13" t="s">
        <v>74</v>
      </c>
      <c r="C56" s="28" t="s">
        <v>75</v>
      </c>
      <c r="D56" s="106">
        <v>1542</v>
      </c>
      <c r="E56" s="106">
        <v>1529</v>
      </c>
      <c r="F56" s="106">
        <v>1550</v>
      </c>
      <c r="G56" s="106">
        <v>1537</v>
      </c>
      <c r="H56" s="106">
        <v>1524</v>
      </c>
      <c r="I56" s="155">
        <v>1551</v>
      </c>
      <c r="J56" s="106">
        <v>1534</v>
      </c>
      <c r="K56" s="106">
        <v>1522</v>
      </c>
      <c r="L56" s="106">
        <v>1535</v>
      </c>
      <c r="M56" s="106">
        <v>1541</v>
      </c>
      <c r="N56" s="106">
        <v>1537</v>
      </c>
      <c r="O56" s="106">
        <v>1556</v>
      </c>
      <c r="P56" s="102">
        <v>1558</v>
      </c>
      <c r="Q56" s="102">
        <v>1558</v>
      </c>
      <c r="R56" s="102">
        <v>1558</v>
      </c>
      <c r="S56" s="102">
        <v>1557</v>
      </c>
      <c r="T56" s="102">
        <v>1535</v>
      </c>
      <c r="U56" s="102">
        <v>1571</v>
      </c>
      <c r="V56" s="29">
        <f>SUM(D56:F56)</f>
        <v>4621</v>
      </c>
      <c r="W56" s="29">
        <f>SUM(G56:I56)</f>
        <v>4612</v>
      </c>
      <c r="X56" s="29">
        <f>SUM(J56:L56)</f>
        <v>4591</v>
      </c>
      <c r="Y56" s="29">
        <f>SUM(M56:O56)</f>
        <v>4634</v>
      </c>
      <c r="Z56" s="29">
        <f>SUM(P56:R56)</f>
        <v>4674</v>
      </c>
      <c r="AA56" s="29">
        <f>SUM(S56:U56)</f>
        <v>4663</v>
      </c>
      <c r="AB56" s="29">
        <f>SUM(D56:O56)</f>
        <v>18458</v>
      </c>
      <c r="AC56" s="60">
        <f>SUM(D56:U56)</f>
        <v>27795</v>
      </c>
    </row>
    <row r="57" spans="1:29">
      <c r="A57" s="28">
        <v>2</v>
      </c>
      <c r="B57" s="13" t="s">
        <v>105</v>
      </c>
      <c r="C57" s="28" t="s">
        <v>75</v>
      </c>
      <c r="D57" s="106">
        <v>3248858.7765000002</v>
      </c>
      <c r="E57" s="106">
        <v>2972715.5690400004</v>
      </c>
      <c r="F57" s="106">
        <v>2733436.5262600002</v>
      </c>
      <c r="G57" s="106">
        <v>1680835.2234800002</v>
      </c>
      <c r="H57" s="106">
        <v>1292573.3137800002</v>
      </c>
      <c r="I57" s="155">
        <v>1585236.50712</v>
      </c>
      <c r="J57" s="106">
        <v>850609.24632999999</v>
      </c>
      <c r="K57" s="106">
        <v>1153636.1443100001</v>
      </c>
      <c r="L57" s="106">
        <v>1345906.47951</v>
      </c>
      <c r="M57" s="106">
        <v>2454413.32541</v>
      </c>
      <c r="N57" s="106">
        <v>2272759.1582800001</v>
      </c>
      <c r="O57" s="106">
        <v>3164804.29422</v>
      </c>
      <c r="P57" s="102">
        <v>3101280.4847599999</v>
      </c>
      <c r="Q57" s="102">
        <v>3330715.5442400002</v>
      </c>
      <c r="R57" s="102">
        <v>2842142.2911499999</v>
      </c>
      <c r="S57" s="102">
        <v>1835878.1209</v>
      </c>
      <c r="T57" s="102">
        <v>1532834.9310599999</v>
      </c>
      <c r="U57" s="102">
        <v>1150071.2720900001</v>
      </c>
      <c r="V57" s="29">
        <f>SUM(D57:F57)</f>
        <v>8955010.8717999998</v>
      </c>
      <c r="W57" s="29">
        <f>SUM(G57:I57)</f>
        <v>4558645.0443800008</v>
      </c>
      <c r="X57" s="29">
        <f>SUM(J57:L57)</f>
        <v>3350151.8701499999</v>
      </c>
      <c r="Y57" s="29">
        <f>SUM(M57:O57)</f>
        <v>7891976.7779099997</v>
      </c>
      <c r="Z57" s="29">
        <f t="shared" ref="Z57:Z59" si="94">SUM(P57:R57)</f>
        <v>9274138.3201499991</v>
      </c>
      <c r="AA57" s="29">
        <f t="shared" ref="AA57:AA59" si="95">SUM(S57:U57)</f>
        <v>4518784.3240499999</v>
      </c>
      <c r="AB57" s="29">
        <f>SUM(D57:O57)</f>
        <v>24755784.564240001</v>
      </c>
      <c r="AC57" s="60">
        <f t="shared" ref="AC57:AC59" si="96">SUM(D57:U57)</f>
        <v>38548707.208440006</v>
      </c>
    </row>
    <row r="58" spans="1:29">
      <c r="A58" s="28">
        <v>3</v>
      </c>
      <c r="B58" s="13" t="s">
        <v>77</v>
      </c>
      <c r="C58" s="28" t="s">
        <v>75</v>
      </c>
      <c r="D58" s="107">
        <v>941005.50601999997</v>
      </c>
      <c r="E58" s="107">
        <v>822003.23616999993</v>
      </c>
      <c r="F58" s="107">
        <v>767621.26030999993</v>
      </c>
      <c r="G58" s="107">
        <v>552337.32221999997</v>
      </c>
      <c r="H58" s="107">
        <v>420269.90149000002</v>
      </c>
      <c r="I58" s="156">
        <v>463094.99942999997</v>
      </c>
      <c r="J58" s="107">
        <v>331242.38097999996</v>
      </c>
      <c r="K58" s="107">
        <v>376669.80784000002</v>
      </c>
      <c r="L58" s="107">
        <v>411706.10687999998</v>
      </c>
      <c r="M58" s="107">
        <v>606917.0671499999</v>
      </c>
      <c r="N58" s="107">
        <v>648682.728</v>
      </c>
      <c r="O58" s="107">
        <v>857713.777</v>
      </c>
      <c r="P58" s="104">
        <v>841790.19550000003</v>
      </c>
      <c r="Q58" s="104">
        <v>887005.79249999998</v>
      </c>
      <c r="R58" s="104">
        <v>840718.97849999997</v>
      </c>
      <c r="S58" s="104">
        <v>578629.46375000011</v>
      </c>
      <c r="T58" s="104">
        <v>473378.03774999996</v>
      </c>
      <c r="U58" s="104">
        <v>391319.59049999999</v>
      </c>
      <c r="V58" s="129">
        <f>SUM(D58:F58)</f>
        <v>2530630.0024999999</v>
      </c>
      <c r="W58" s="129">
        <f>SUM(G58:I58)</f>
        <v>1435702.2231399999</v>
      </c>
      <c r="X58" s="129">
        <f>SUM(J58:L58)</f>
        <v>1119618.2957000001</v>
      </c>
      <c r="Y58" s="129">
        <f>SUM(M58:O58)</f>
        <v>2113313.5721499999</v>
      </c>
      <c r="Z58" s="29">
        <f t="shared" si="94"/>
        <v>2569514.9665000001</v>
      </c>
      <c r="AA58" s="29">
        <f t="shared" si="95"/>
        <v>1443327.0919999999</v>
      </c>
      <c r="AB58" s="129">
        <f>SUM(D58:O58)</f>
        <v>7199264.093489999</v>
      </c>
      <c r="AC58" s="60">
        <f t="shared" si="96"/>
        <v>11212106.151989998</v>
      </c>
    </row>
    <row r="59" spans="1:29">
      <c r="A59" s="28">
        <v>4</v>
      </c>
      <c r="B59" s="13" t="s">
        <v>78</v>
      </c>
      <c r="C59" s="28" t="s">
        <v>75</v>
      </c>
      <c r="D59" s="107">
        <v>163836.71999999997</v>
      </c>
      <c r="E59" s="107">
        <v>162851.94999999998</v>
      </c>
      <c r="F59" s="107">
        <v>164543.19999999998</v>
      </c>
      <c r="G59" s="107">
        <v>163704.94999999998</v>
      </c>
      <c r="H59" s="107">
        <v>161885.57</v>
      </c>
      <c r="I59" s="156">
        <v>165301.13</v>
      </c>
      <c r="J59" s="107">
        <v>163162.87</v>
      </c>
      <c r="K59" s="107">
        <v>163138.37999999998</v>
      </c>
      <c r="L59" s="107">
        <v>163237.37999999998</v>
      </c>
      <c r="M59" s="107">
        <v>163779.26</v>
      </c>
      <c r="N59" s="107">
        <v>163306.04999999999</v>
      </c>
      <c r="O59" s="107">
        <v>165147.93</v>
      </c>
      <c r="P59" s="104">
        <v>152614.41999999998</v>
      </c>
      <c r="Q59" s="104">
        <v>158092.54</v>
      </c>
      <c r="R59" s="104">
        <v>186706.61000000002</v>
      </c>
      <c r="S59" s="104">
        <v>165467.82999999999</v>
      </c>
      <c r="T59" s="104">
        <v>163938.57999999999</v>
      </c>
      <c r="U59" s="104">
        <v>167073.82</v>
      </c>
      <c r="V59" s="129">
        <f>SUM(D59:F59)</f>
        <v>491231.86999999988</v>
      </c>
      <c r="W59" s="129">
        <f>SUM(G59:I59)</f>
        <v>490891.65</v>
      </c>
      <c r="X59" s="129">
        <f>SUM(J59:L59)</f>
        <v>489538.63</v>
      </c>
      <c r="Y59" s="129">
        <f>SUM(M59:O59)</f>
        <v>492233.24</v>
      </c>
      <c r="Z59" s="29">
        <f t="shared" si="94"/>
        <v>497413.56999999995</v>
      </c>
      <c r="AA59" s="29">
        <f t="shared" si="95"/>
        <v>496480.23</v>
      </c>
      <c r="AB59" s="129">
        <f>SUM(D59:O59)</f>
        <v>1963895.3899999997</v>
      </c>
      <c r="AC59" s="60">
        <f t="shared" si="96"/>
        <v>2957789.1899999995</v>
      </c>
    </row>
    <row r="60" spans="1:29" ht="6" customHeight="1">
      <c r="A60" s="28">
        <v>5</v>
      </c>
      <c r="B60" s="13"/>
      <c r="C60" s="28"/>
      <c r="D60" s="78"/>
      <c r="E60" s="78"/>
      <c r="F60" s="78"/>
      <c r="G60" s="78"/>
      <c r="H60" s="78"/>
      <c r="I60" s="94"/>
      <c r="J60" s="78"/>
      <c r="K60" s="78"/>
      <c r="L60" s="78"/>
      <c r="M60" s="78"/>
      <c r="N60" s="78"/>
      <c r="O60" s="78"/>
      <c r="P60" s="78"/>
      <c r="Q60" s="78"/>
      <c r="R60" s="78"/>
      <c r="S60" s="78"/>
      <c r="T60" s="78"/>
      <c r="U60" s="78"/>
      <c r="V60" s="29"/>
      <c r="W60" s="29"/>
      <c r="X60" s="29"/>
      <c r="Y60" s="29"/>
      <c r="Z60" s="29"/>
      <c r="AA60" s="29"/>
      <c r="AB60" s="29"/>
      <c r="AC60" s="60"/>
    </row>
    <row r="61" spans="1:29">
      <c r="A61" s="28">
        <v>6</v>
      </c>
      <c r="B61" s="71" t="str">
        <f t="shared" ref="B61" si="97">B15</f>
        <v>Existing Customers</v>
      </c>
      <c r="C61" s="28"/>
      <c r="D61" s="78"/>
      <c r="E61" s="78"/>
      <c r="F61" s="78"/>
      <c r="G61" s="78"/>
      <c r="H61" s="78"/>
      <c r="I61" s="94"/>
      <c r="J61" s="78"/>
      <c r="K61" s="78"/>
      <c r="L61" s="78"/>
      <c r="M61" s="78"/>
      <c r="N61" s="78"/>
      <c r="O61" s="78"/>
      <c r="P61" s="78"/>
      <c r="Q61" s="78"/>
      <c r="R61" s="78"/>
      <c r="S61" s="78"/>
      <c r="T61" s="78"/>
      <c r="U61" s="78"/>
      <c r="V61" s="29"/>
      <c r="W61" s="29"/>
      <c r="X61" s="29"/>
      <c r="Y61" s="29"/>
      <c r="Z61" s="29"/>
      <c r="AA61" s="29"/>
      <c r="AB61" s="29"/>
      <c r="AC61" s="60"/>
    </row>
    <row r="62" spans="1:29">
      <c r="A62" s="28">
        <v>7</v>
      </c>
      <c r="B62" s="13" t="str">
        <f>B16</f>
        <v>Actual Customers on System During Test Year</v>
      </c>
      <c r="C62" s="28" t="str">
        <f>C16</f>
        <v>(1) - (22)</v>
      </c>
      <c r="D62" s="74">
        <f t="shared" ref="D62:I62" si="98">D56-D77</f>
        <v>1497</v>
      </c>
      <c r="E62" s="74">
        <f t="shared" si="98"/>
        <v>1482</v>
      </c>
      <c r="F62" s="74">
        <f t="shared" si="98"/>
        <v>1501</v>
      </c>
      <c r="G62" s="74">
        <f t="shared" si="98"/>
        <v>1487</v>
      </c>
      <c r="H62" s="74">
        <f t="shared" si="98"/>
        <v>1473</v>
      </c>
      <c r="I62" s="138">
        <f t="shared" si="98"/>
        <v>1497</v>
      </c>
      <c r="J62" s="74">
        <f t="shared" ref="J62:O62" si="99">J56-J77</f>
        <v>1484</v>
      </c>
      <c r="K62" s="74">
        <f t="shared" si="99"/>
        <v>1472</v>
      </c>
      <c r="L62" s="74">
        <f t="shared" si="99"/>
        <v>1484</v>
      </c>
      <c r="M62" s="74">
        <f t="shared" si="99"/>
        <v>1488</v>
      </c>
      <c r="N62" s="74">
        <f t="shared" si="99"/>
        <v>1484</v>
      </c>
      <c r="O62" s="74">
        <f t="shared" si="99"/>
        <v>1504</v>
      </c>
      <c r="P62" s="74">
        <f t="shared" ref="P62:U62" si="100">P56-P77</f>
        <v>1504</v>
      </c>
      <c r="Q62" s="74">
        <f t="shared" si="100"/>
        <v>1504</v>
      </c>
      <c r="R62" s="74">
        <f t="shared" si="100"/>
        <v>1497</v>
      </c>
      <c r="S62" s="74">
        <f t="shared" si="100"/>
        <v>1501</v>
      </c>
      <c r="T62" s="74">
        <f t="shared" si="100"/>
        <v>1475</v>
      </c>
      <c r="U62" s="74">
        <f t="shared" si="100"/>
        <v>1509</v>
      </c>
      <c r="V62" s="29">
        <f>SUM(D62:F62)</f>
        <v>4480</v>
      </c>
      <c r="W62" s="29">
        <f>SUM(G62:I62)</f>
        <v>4457</v>
      </c>
      <c r="X62" s="29">
        <f>SUM(J62:L62)</f>
        <v>4440</v>
      </c>
      <c r="Y62" s="29">
        <f>SUM(M62:O62)</f>
        <v>4476</v>
      </c>
      <c r="Z62" s="29">
        <f>SUM(P62:R62)</f>
        <v>4505</v>
      </c>
      <c r="AA62" s="29">
        <f>SUM(S62:U62)</f>
        <v>4485</v>
      </c>
      <c r="AB62" s="29">
        <f>SUM(D62:O62)</f>
        <v>17853</v>
      </c>
      <c r="AC62" s="60">
        <f>SUM(D62:U62)</f>
        <v>26843</v>
      </c>
    </row>
    <row r="63" spans="1:29">
      <c r="A63" s="75">
        <v>8</v>
      </c>
      <c r="B63" s="13" t="str">
        <f t="shared" ref="B63:C78" si="101">B17</f>
        <v>Monthly Fixed Cost Adj. Revenue per Customer</v>
      </c>
      <c r="C63" s="28" t="str">
        <f t="shared" si="101"/>
        <v>Page 3</v>
      </c>
      <c r="D63" s="76">
        <v>444.18280687179617</v>
      </c>
      <c r="E63" s="76">
        <v>408.07268055005784</v>
      </c>
      <c r="F63" s="76">
        <v>352.18738916487922</v>
      </c>
      <c r="G63" s="76">
        <v>254.6265167795666</v>
      </c>
      <c r="H63" s="76">
        <v>204.34581387213407</v>
      </c>
      <c r="I63" s="142">
        <v>157.30625034146908</v>
      </c>
      <c r="J63" s="76">
        <v>159.92644695968579</v>
      </c>
      <c r="K63" s="76">
        <v>196.64431172335128</v>
      </c>
      <c r="L63" s="76">
        <v>151.80387986589415</v>
      </c>
      <c r="M63" s="76">
        <v>260.0480887975599</v>
      </c>
      <c r="N63" s="76">
        <v>396.32886037309447</v>
      </c>
      <c r="O63" s="76">
        <v>448.34695470051184</v>
      </c>
      <c r="P63" s="76">
        <v>444.18280687179617</v>
      </c>
      <c r="Q63" s="76">
        <v>408.07268055005784</v>
      </c>
      <c r="R63" s="76">
        <v>352.18738916487922</v>
      </c>
      <c r="S63" s="76">
        <v>254.6265167795666</v>
      </c>
      <c r="T63" s="76">
        <v>204.34581387213407</v>
      </c>
      <c r="U63" s="76">
        <v>157.30625034146908</v>
      </c>
      <c r="V63" s="67">
        <f>V64/V62</f>
        <v>401.41487624972058</v>
      </c>
      <c r="W63" s="67">
        <f>W64/W62</f>
        <v>205.32162240207498</v>
      </c>
      <c r="X63" s="67">
        <f>X64/X62</f>
        <v>169.38473690674184</v>
      </c>
      <c r="Y63" s="67">
        <f>Y64/Y62</f>
        <v>368.50254798793816</v>
      </c>
      <c r="Z63" s="67">
        <f t="shared" ref="Z63:AA63" si="102">Z64/Z62</f>
        <v>401.55755264423811</v>
      </c>
      <c r="AA63" s="67">
        <f t="shared" si="102"/>
        <v>203.34924836405887</v>
      </c>
      <c r="AB63" s="67">
        <f>AB64/AB62</f>
        <v>286.50326294206803</v>
      </c>
      <c r="AC63" s="55">
        <f>AC64/AC62</f>
        <v>291.91896982005875</v>
      </c>
    </row>
    <row r="64" spans="1:29">
      <c r="A64" s="28">
        <v>9</v>
      </c>
      <c r="B64" s="13" t="str">
        <f t="shared" si="101"/>
        <v>Fixed Cost Adjustment Revenue</v>
      </c>
      <c r="C64" s="28" t="str">
        <f t="shared" si="101"/>
        <v>(7) x (8)</v>
      </c>
      <c r="D64" s="78">
        <f t="shared" ref="D64:I64" si="103">D62*D63</f>
        <v>664941.6618870789</v>
      </c>
      <c r="E64" s="78">
        <f t="shared" si="103"/>
        <v>604763.71257518569</v>
      </c>
      <c r="F64" s="78">
        <f t="shared" si="103"/>
        <v>528633.27113648376</v>
      </c>
      <c r="G64" s="78">
        <f t="shared" si="103"/>
        <v>378629.63045121555</v>
      </c>
      <c r="H64" s="78">
        <f t="shared" si="103"/>
        <v>301001.38383365347</v>
      </c>
      <c r="I64" s="94">
        <f t="shared" si="103"/>
        <v>235487.4567611792</v>
      </c>
      <c r="J64" s="78">
        <f t="shared" ref="J64:O64" si="104">J62*J63</f>
        <v>237330.84728817371</v>
      </c>
      <c r="K64" s="78">
        <f t="shared" si="104"/>
        <v>289460.42685677309</v>
      </c>
      <c r="L64" s="78">
        <f>L62*L63</f>
        <v>225276.95772098692</v>
      </c>
      <c r="M64" s="78">
        <f t="shared" si="104"/>
        <v>386951.55613076914</v>
      </c>
      <c r="N64" s="78">
        <f t="shared" si="104"/>
        <v>588152.02879367222</v>
      </c>
      <c r="O64" s="78">
        <f t="shared" si="104"/>
        <v>674313.81986956985</v>
      </c>
      <c r="P64" s="78">
        <f t="shared" ref="P64:T64" si="105">P62*P63</f>
        <v>668050.94153518148</v>
      </c>
      <c r="Q64" s="78">
        <f t="shared" si="105"/>
        <v>613741.31154728704</v>
      </c>
      <c r="R64" s="78">
        <f t="shared" si="105"/>
        <v>527224.52157982416</v>
      </c>
      <c r="S64" s="78">
        <f t="shared" si="105"/>
        <v>382194.40168612945</v>
      </c>
      <c r="T64" s="78">
        <f t="shared" si="105"/>
        <v>301410.07546139776</v>
      </c>
      <c r="U64" s="223">
        <f>U62*U63-8958.23</f>
        <v>228416.90176527682</v>
      </c>
      <c r="V64" s="30">
        <f>SUM(D64:F64)</f>
        <v>1798338.6455987482</v>
      </c>
      <c r="W64" s="30">
        <f>SUM(G64:I64)</f>
        <v>915118.47104604822</v>
      </c>
      <c r="X64" s="30">
        <f>SUM(J64:L64)</f>
        <v>752068.23186593375</v>
      </c>
      <c r="Y64" s="30">
        <f>SUM(M64:O64)</f>
        <v>1649417.4047940113</v>
      </c>
      <c r="Z64" s="30">
        <f>SUM(P64:R64)</f>
        <v>1809016.7746622928</v>
      </c>
      <c r="AA64" s="30">
        <f>SUM(S64:U64)</f>
        <v>912021.37891280407</v>
      </c>
      <c r="AB64" s="30">
        <f>SUM(D64:O64)</f>
        <v>5114942.7533047404</v>
      </c>
      <c r="AC64" s="61">
        <f>SUM(D64:U64)</f>
        <v>7835980.9068798367</v>
      </c>
    </row>
    <row r="65" spans="1:29" ht="6" customHeight="1">
      <c r="A65" s="28">
        <v>10</v>
      </c>
      <c r="B65" s="13"/>
      <c r="C65" s="28"/>
      <c r="D65" s="79"/>
      <c r="E65" s="79"/>
      <c r="F65" s="79"/>
      <c r="G65" s="79"/>
      <c r="H65" s="79"/>
      <c r="I65" s="139"/>
      <c r="J65" s="79"/>
      <c r="K65" s="79"/>
      <c r="L65" s="79"/>
      <c r="M65" s="79"/>
      <c r="N65" s="79"/>
      <c r="O65" s="79"/>
      <c r="P65" s="79"/>
      <c r="Q65" s="79"/>
      <c r="R65" s="79"/>
      <c r="S65" s="79"/>
      <c r="T65" s="79"/>
      <c r="U65" s="79"/>
      <c r="V65" s="31"/>
      <c r="W65" s="31"/>
      <c r="X65" s="31"/>
      <c r="Y65" s="31"/>
      <c r="AB65" s="31"/>
      <c r="AC65" s="31"/>
    </row>
    <row r="66" spans="1:29">
      <c r="A66" s="28">
        <v>11</v>
      </c>
      <c r="B66" s="13" t="str">
        <f t="shared" si="101"/>
        <v>Actual Base Rate Revenue</v>
      </c>
      <c r="C66" s="28" t="str">
        <f t="shared" si="101"/>
        <v>(3) - (26)</v>
      </c>
      <c r="D66" s="78">
        <f t="shared" ref="D66:I66" si="106">D58-D81</f>
        <v>910380.04602000001</v>
      </c>
      <c r="E66" s="78">
        <f t="shared" si="106"/>
        <v>791094.91616999998</v>
      </c>
      <c r="F66" s="78">
        <f t="shared" si="106"/>
        <v>731632.60030999989</v>
      </c>
      <c r="G66" s="78">
        <f t="shared" si="106"/>
        <v>527494.70221999998</v>
      </c>
      <c r="H66" s="78">
        <f t="shared" si="106"/>
        <v>399678.11149000004</v>
      </c>
      <c r="I66" s="94">
        <f t="shared" si="106"/>
        <v>437771.10942999995</v>
      </c>
      <c r="J66" s="78">
        <f t="shared" ref="J66:O67" si="107">J58-J81</f>
        <v>312284.18097999995</v>
      </c>
      <c r="K66" s="78">
        <f t="shared" si="107"/>
        <v>359562.77784</v>
      </c>
      <c r="L66" s="78">
        <f t="shared" si="107"/>
        <v>395581.83687999996</v>
      </c>
      <c r="M66" s="78">
        <f t="shared" si="107"/>
        <v>578827.39714999986</v>
      </c>
      <c r="N66" s="78">
        <f t="shared" si="107"/>
        <v>620431.56799999997</v>
      </c>
      <c r="O66" s="78">
        <f t="shared" si="107"/>
        <v>829960.06700000004</v>
      </c>
      <c r="P66" s="78">
        <f t="shared" ref="P66:U66" si="108">P58-P81</f>
        <v>811104.15549999999</v>
      </c>
      <c r="Q66" s="78">
        <f t="shared" si="108"/>
        <v>852804.91249999998</v>
      </c>
      <c r="R66" s="78">
        <f t="shared" si="108"/>
        <v>806289.10849999997</v>
      </c>
      <c r="S66" s="78">
        <f t="shared" si="108"/>
        <v>553232.00375000015</v>
      </c>
      <c r="T66" s="78">
        <f t="shared" si="108"/>
        <v>451936.42774999997</v>
      </c>
      <c r="U66" s="78">
        <f t="shared" si="108"/>
        <v>369197.64049999998</v>
      </c>
      <c r="V66" s="78">
        <f t="shared" ref="V66:AB66" si="109">V58-V81</f>
        <v>2433107.5625</v>
      </c>
      <c r="W66" s="78">
        <f t="shared" si="109"/>
        <v>1364943.9231399999</v>
      </c>
      <c r="X66" s="78">
        <f t="shared" si="109"/>
        <v>1067428.7957000001</v>
      </c>
      <c r="Y66" s="78">
        <f t="shared" si="109"/>
        <v>2029219.0321499999</v>
      </c>
      <c r="Z66" s="78">
        <f t="shared" ref="Z66:AA66" si="110">Z58-Z81</f>
        <v>2470198.1765000001</v>
      </c>
      <c r="AA66" s="78">
        <f t="shared" si="110"/>
        <v>1374366.0719999999</v>
      </c>
      <c r="AB66" s="78">
        <f t="shared" si="109"/>
        <v>6894699.3134899987</v>
      </c>
      <c r="AC66" s="78">
        <f>AC58-AC81</f>
        <v>10739263.561989998</v>
      </c>
    </row>
    <row r="67" spans="1:29">
      <c r="A67" s="28">
        <v>12</v>
      </c>
      <c r="B67" s="13" t="str">
        <f t="shared" si="101"/>
        <v>Actual Fixed Charge Revenue</v>
      </c>
      <c r="C67" s="28" t="str">
        <f t="shared" si="101"/>
        <v>(4) - (27)</v>
      </c>
      <c r="D67" s="78">
        <f t="shared" ref="D67:I67" si="111">D59-D82</f>
        <v>159001.99999999997</v>
      </c>
      <c r="E67" s="78">
        <f t="shared" si="111"/>
        <v>151874.69999999998</v>
      </c>
      <c r="F67" s="78">
        <f t="shared" si="111"/>
        <v>153526.43</v>
      </c>
      <c r="G67" s="78">
        <f t="shared" si="111"/>
        <v>158289.77999999997</v>
      </c>
      <c r="H67" s="78">
        <f t="shared" si="111"/>
        <v>155977.08000000002</v>
      </c>
      <c r="I67" s="94">
        <f t="shared" si="111"/>
        <v>159648.76</v>
      </c>
      <c r="J67" s="78">
        <f t="shared" si="107"/>
        <v>157761.04</v>
      </c>
      <c r="K67" s="78">
        <f t="shared" si="107"/>
        <v>157854.12999999998</v>
      </c>
      <c r="L67" s="78">
        <f t="shared" si="107"/>
        <v>157881.00999999998</v>
      </c>
      <c r="M67" s="78">
        <f t="shared" si="107"/>
        <v>158151.71000000002</v>
      </c>
      <c r="N67" s="78">
        <f t="shared" si="107"/>
        <v>157774.12</v>
      </c>
      <c r="O67" s="78">
        <f t="shared" si="107"/>
        <v>159676.16999999998</v>
      </c>
      <c r="P67" s="78">
        <f t="shared" ref="P67:U67" si="112">P59-P82</f>
        <v>146859.37</v>
      </c>
      <c r="Q67" s="78">
        <f t="shared" si="112"/>
        <v>150684.27000000002</v>
      </c>
      <c r="R67" s="78">
        <f t="shared" si="112"/>
        <v>178474.51</v>
      </c>
      <c r="S67" s="78">
        <f t="shared" si="112"/>
        <v>159521.59999999998</v>
      </c>
      <c r="T67" s="78">
        <f t="shared" si="112"/>
        <v>157712.79999999999</v>
      </c>
      <c r="U67" s="78">
        <f t="shared" si="112"/>
        <v>160038.35</v>
      </c>
      <c r="V67" s="78">
        <f t="shared" ref="V67:AC67" si="113">V59-V82</f>
        <v>464403.12999999989</v>
      </c>
      <c r="W67" s="78">
        <f t="shared" si="113"/>
        <v>473915.62</v>
      </c>
      <c r="X67" s="78">
        <f t="shared" si="113"/>
        <v>473496.18</v>
      </c>
      <c r="Y67" s="78">
        <f t="shared" si="113"/>
        <v>475602</v>
      </c>
      <c r="Z67" s="78">
        <f t="shared" ref="Z67:AA67" si="114">Z59-Z82</f>
        <v>476018.14999999997</v>
      </c>
      <c r="AA67" s="78">
        <f t="shared" si="114"/>
        <v>477272.75</v>
      </c>
      <c r="AB67" s="78">
        <f t="shared" si="113"/>
        <v>1887416.9299999997</v>
      </c>
      <c r="AC67" s="78">
        <f t="shared" si="113"/>
        <v>2840707.8299999996</v>
      </c>
    </row>
    <row r="68" spans="1:29">
      <c r="A68" s="28">
        <v>13</v>
      </c>
      <c r="B68" s="13" t="str">
        <f t="shared" si="101"/>
        <v>Actual Usage (Therms)</v>
      </c>
      <c r="C68" s="28" t="str">
        <f t="shared" si="101"/>
        <v>(2) - (28)</v>
      </c>
      <c r="D68" s="74">
        <f t="shared" ref="D68:I68" si="115">D57-D83</f>
        <v>3132179.1125000003</v>
      </c>
      <c r="E68" s="74">
        <f t="shared" si="115"/>
        <v>2868067.2040400002</v>
      </c>
      <c r="F68" s="74">
        <f t="shared" si="115"/>
        <v>2607371.4860100001</v>
      </c>
      <c r="G68" s="74">
        <f t="shared" si="115"/>
        <v>1589842.2797700001</v>
      </c>
      <c r="H68" s="74">
        <f t="shared" si="115"/>
        <v>1218440.6923800001</v>
      </c>
      <c r="I68" s="138">
        <f t="shared" si="115"/>
        <v>1482730.4821199998</v>
      </c>
      <c r="J68" s="74">
        <f t="shared" ref="J68:O68" si="116">J57-J83</f>
        <v>783694.28133000003</v>
      </c>
      <c r="K68" s="74">
        <f t="shared" si="116"/>
        <v>1093964.5023100001</v>
      </c>
      <c r="L68" s="74">
        <f t="shared" si="116"/>
        <v>1292456.2755100001</v>
      </c>
      <c r="M68" s="74">
        <f t="shared" si="116"/>
        <v>2339129.32541</v>
      </c>
      <c r="N68" s="74">
        <f t="shared" si="116"/>
        <v>2164937.5692799999</v>
      </c>
      <c r="O68" s="74">
        <f t="shared" si="116"/>
        <v>3063437.5162200001</v>
      </c>
      <c r="P68" s="74">
        <f t="shared" ref="P68:U68" si="117">P57-P83</f>
        <v>2987798.5777599998</v>
      </c>
      <c r="Q68" s="74">
        <f t="shared" si="117"/>
        <v>3203183.21924</v>
      </c>
      <c r="R68" s="74">
        <f t="shared" si="117"/>
        <v>2717471.0231499998</v>
      </c>
      <c r="S68" s="74">
        <f t="shared" si="117"/>
        <v>1744273.9929</v>
      </c>
      <c r="T68" s="74">
        <f t="shared" si="117"/>
        <v>1457808.8280599997</v>
      </c>
      <c r="U68" s="74">
        <f t="shared" si="117"/>
        <v>1070588.2070900002</v>
      </c>
      <c r="V68" s="74">
        <f t="shared" ref="V68:AC68" si="118">V57-V83</f>
        <v>8607617.8025499992</v>
      </c>
      <c r="W68" s="74">
        <f t="shared" si="118"/>
        <v>4291013.4542700006</v>
      </c>
      <c r="X68" s="74">
        <f t="shared" si="118"/>
        <v>3170115.0591500001</v>
      </c>
      <c r="Y68" s="74">
        <f t="shared" si="118"/>
        <v>7567504.4109100001</v>
      </c>
      <c r="Z68" s="74">
        <f t="shared" ref="Z68:AA68" si="119">Z57-Z83</f>
        <v>8908452.8201499991</v>
      </c>
      <c r="AA68" s="74">
        <f t="shared" si="119"/>
        <v>4272671.0280499998</v>
      </c>
      <c r="AB68" s="74">
        <f t="shared" si="118"/>
        <v>23636250.726880003</v>
      </c>
      <c r="AC68" s="74">
        <f t="shared" si="118"/>
        <v>36817374.575080007</v>
      </c>
    </row>
    <row r="69" spans="1:29" hidden="1">
      <c r="A69" s="28">
        <v>14</v>
      </c>
      <c r="B69" s="13"/>
      <c r="C69" s="28"/>
      <c r="D69" s="80"/>
      <c r="E69" s="80"/>
      <c r="F69" s="80"/>
      <c r="G69" s="80"/>
      <c r="H69" s="80"/>
      <c r="I69" s="140"/>
      <c r="J69" s="80"/>
      <c r="K69" s="80"/>
      <c r="L69" s="80"/>
      <c r="M69" s="80"/>
      <c r="N69" s="80"/>
      <c r="O69" s="80"/>
      <c r="P69" s="80"/>
      <c r="Q69" s="80"/>
      <c r="R69" s="80"/>
      <c r="S69" s="80"/>
      <c r="T69" s="80"/>
      <c r="U69" s="80"/>
      <c r="V69" s="31"/>
      <c r="W69" s="31"/>
      <c r="X69" s="31"/>
      <c r="Y69" s="31"/>
      <c r="AB69" s="31"/>
      <c r="AC69" s="108">
        <f>AC70/AC68</f>
        <v>0</v>
      </c>
    </row>
    <row r="70" spans="1:29" ht="6" customHeight="1">
      <c r="A70" s="28">
        <v>15</v>
      </c>
      <c r="B70" s="13"/>
      <c r="C70" s="28"/>
      <c r="D70" s="78"/>
      <c r="E70" s="78"/>
      <c r="F70" s="78"/>
      <c r="G70" s="78"/>
      <c r="H70" s="78"/>
      <c r="I70" s="94"/>
      <c r="J70" s="78"/>
      <c r="K70" s="78"/>
      <c r="L70" s="78"/>
      <c r="M70" s="78"/>
      <c r="N70" s="78"/>
      <c r="O70" s="78"/>
      <c r="P70" s="78"/>
      <c r="Q70" s="78"/>
      <c r="R70" s="78"/>
      <c r="S70" s="78"/>
      <c r="T70" s="78"/>
      <c r="U70" s="78"/>
      <c r="V70" s="31"/>
      <c r="W70" s="31"/>
      <c r="X70" s="31"/>
      <c r="Y70" s="31"/>
      <c r="AB70" s="31"/>
      <c r="AC70" s="61"/>
    </row>
    <row r="71" spans="1:29">
      <c r="A71" s="28">
        <v>16</v>
      </c>
      <c r="B71" s="13" t="str">
        <f t="shared" si="101"/>
        <v>Customer Fixed Cost Adjustment Revenue</v>
      </c>
      <c r="C71" s="28" t="str">
        <f t="shared" si="101"/>
        <v>(11) - (12) -(15)</v>
      </c>
      <c r="D71" s="78">
        <f t="shared" ref="D71:I71" si="120">D66-D67-D70</f>
        <v>751378.04602000001</v>
      </c>
      <c r="E71" s="78">
        <f t="shared" si="120"/>
        <v>639220.21617000003</v>
      </c>
      <c r="F71" s="78">
        <f t="shared" si="120"/>
        <v>578106.17030999996</v>
      </c>
      <c r="G71" s="78">
        <f t="shared" si="120"/>
        <v>369204.92222000001</v>
      </c>
      <c r="H71" s="78">
        <f t="shared" si="120"/>
        <v>243701.03149000002</v>
      </c>
      <c r="I71" s="94">
        <f t="shared" si="120"/>
        <v>278122.34942999994</v>
      </c>
      <c r="J71" s="78">
        <f t="shared" ref="J71:O71" si="121">J66-J67-J70</f>
        <v>154523.14097999994</v>
      </c>
      <c r="K71" s="78">
        <f t="shared" si="121"/>
        <v>201708.64784000002</v>
      </c>
      <c r="L71" s="78">
        <f t="shared" si="121"/>
        <v>237700.82687999998</v>
      </c>
      <c r="M71" s="78">
        <f t="shared" si="121"/>
        <v>420675.68714999984</v>
      </c>
      <c r="N71" s="78">
        <f t="shared" si="121"/>
        <v>462657.44799999997</v>
      </c>
      <c r="O71" s="78">
        <f t="shared" si="121"/>
        <v>670283.89700000011</v>
      </c>
      <c r="P71" s="78">
        <f t="shared" ref="P71:U71" si="122">P66-P67-P70</f>
        <v>664244.7855</v>
      </c>
      <c r="Q71" s="78">
        <f t="shared" si="122"/>
        <v>702120.64249999996</v>
      </c>
      <c r="R71" s="78">
        <f t="shared" si="122"/>
        <v>627814.59849999996</v>
      </c>
      <c r="S71" s="78">
        <f t="shared" si="122"/>
        <v>393710.40375000017</v>
      </c>
      <c r="T71" s="78">
        <f t="shared" si="122"/>
        <v>294223.62774999999</v>
      </c>
      <c r="U71" s="78">
        <f t="shared" si="122"/>
        <v>209159.29049999997</v>
      </c>
      <c r="V71" s="30">
        <f>SUM(D71:F71)</f>
        <v>1968704.4325000001</v>
      </c>
      <c r="W71" s="30">
        <f>SUM(G71:I71)</f>
        <v>891028.30313999997</v>
      </c>
      <c r="X71" s="30">
        <f>SUM(J71:L71)</f>
        <v>593932.61569999997</v>
      </c>
      <c r="Y71" s="30">
        <f>SUM(M71:O71)</f>
        <v>1553617.0321499999</v>
      </c>
      <c r="Z71" s="30">
        <f>SUM(P71:R71)</f>
        <v>1994180.0264999997</v>
      </c>
      <c r="AA71" s="30">
        <f>SUM(S71:U71)</f>
        <v>897093.32200000016</v>
      </c>
      <c r="AB71" s="30">
        <f>SUM(D71:O71)</f>
        <v>5007282.3834899999</v>
      </c>
      <c r="AC71" s="61">
        <f>SUM(D71:U71)</f>
        <v>7898555.7319900012</v>
      </c>
    </row>
    <row r="72" spans="1:29">
      <c r="A72" s="28">
        <v>17</v>
      </c>
      <c r="B72" s="3" t="s">
        <v>27</v>
      </c>
      <c r="C72" s="28"/>
      <c r="D72" s="97">
        <f t="shared" ref="D72:I72" si="123">D71/D62</f>
        <v>501.92254243152973</v>
      </c>
      <c r="E72" s="97">
        <f t="shared" si="123"/>
        <v>431.32268297570852</v>
      </c>
      <c r="F72" s="97">
        <f t="shared" si="123"/>
        <v>385.14734864090605</v>
      </c>
      <c r="G72" s="97">
        <f t="shared" si="123"/>
        <v>248.28844802958977</v>
      </c>
      <c r="H72" s="97">
        <f t="shared" si="123"/>
        <v>165.44537100475222</v>
      </c>
      <c r="I72" s="147">
        <f t="shared" si="123"/>
        <v>185.78647256513023</v>
      </c>
      <c r="J72" s="97">
        <f t="shared" ref="J72:O72" si="124">J71/J62</f>
        <v>104.12610578167111</v>
      </c>
      <c r="K72" s="97">
        <f t="shared" si="124"/>
        <v>137.03033141304348</v>
      </c>
      <c r="L72" s="97">
        <f t="shared" si="124"/>
        <v>160.17575935309972</v>
      </c>
      <c r="M72" s="97">
        <f t="shared" si="124"/>
        <v>282.71215534274182</v>
      </c>
      <c r="N72" s="97">
        <f t="shared" si="124"/>
        <v>311.76377897574122</v>
      </c>
      <c r="O72" s="97">
        <f t="shared" si="124"/>
        <v>445.66748470744687</v>
      </c>
      <c r="P72" s="97">
        <f t="shared" ref="P72:U72" si="125">P71/P62</f>
        <v>441.65211801861705</v>
      </c>
      <c r="Q72" s="97">
        <f t="shared" si="125"/>
        <v>466.83553357712765</v>
      </c>
      <c r="R72" s="97">
        <f t="shared" si="125"/>
        <v>419.38182932531726</v>
      </c>
      <c r="S72" s="97">
        <f t="shared" si="125"/>
        <v>262.29873667554978</v>
      </c>
      <c r="T72" s="97">
        <f t="shared" si="125"/>
        <v>199.47364593220337</v>
      </c>
      <c r="U72" s="97">
        <f t="shared" si="125"/>
        <v>138.60787972166997</v>
      </c>
      <c r="V72" s="67">
        <f>V71/V62</f>
        <v>439.44295368303574</v>
      </c>
      <c r="W72" s="67">
        <f t="shared" ref="W72" si="126">W71/W62</f>
        <v>199.91660380076283</v>
      </c>
      <c r="X72" s="67">
        <f t="shared" ref="X72" si="127">X71/X62</f>
        <v>133.76860713963964</v>
      </c>
      <c r="Y72" s="67">
        <f t="shared" ref="Y72:AA72" si="128">Y71/Y62</f>
        <v>347.09942630697049</v>
      </c>
      <c r="Z72" s="67">
        <f t="shared" si="128"/>
        <v>442.65927336292998</v>
      </c>
      <c r="AA72" s="67">
        <f t="shared" si="128"/>
        <v>200.02080758082502</v>
      </c>
      <c r="AB72" s="67">
        <f t="shared" ref="AB72:AC72" si="129">AB71/AB62</f>
        <v>280.47288318433874</v>
      </c>
      <c r="AC72" s="67">
        <f t="shared" si="129"/>
        <v>294.25011109004214</v>
      </c>
    </row>
    <row r="73" spans="1:29">
      <c r="A73" s="28">
        <v>18</v>
      </c>
      <c r="B73" s="13" t="str">
        <f t="shared" si="101"/>
        <v>Existing Customer Deferral - Surcharge (Rebate)</v>
      </c>
      <c r="C73" s="28" t="str">
        <f t="shared" si="101"/>
        <v>(9) - (16)</v>
      </c>
      <c r="D73" s="78">
        <f t="shared" ref="D73:I73" si="130">D64-D71</f>
        <v>-86436.384132921114</v>
      </c>
      <c r="E73" s="78">
        <f t="shared" si="130"/>
        <v>-34456.503594814334</v>
      </c>
      <c r="F73" s="78">
        <f t="shared" si="130"/>
        <v>-49472.899173516198</v>
      </c>
      <c r="G73" s="78">
        <f t="shared" si="130"/>
        <v>9424.7082312155399</v>
      </c>
      <c r="H73" s="78">
        <f t="shared" si="130"/>
        <v>57300.352343653445</v>
      </c>
      <c r="I73" s="94">
        <f t="shared" si="130"/>
        <v>-42634.892668820743</v>
      </c>
      <c r="J73" s="78">
        <f t="shared" ref="J73:O73" si="131">J64-J71</f>
        <v>82807.706308173772</v>
      </c>
      <c r="K73" s="78">
        <f t="shared" si="131"/>
        <v>87751.779016773071</v>
      </c>
      <c r="L73" s="78">
        <f t="shared" si="131"/>
        <v>-12423.869159013062</v>
      </c>
      <c r="M73" s="78">
        <f t="shared" si="131"/>
        <v>-33724.131019230699</v>
      </c>
      <c r="N73" s="78">
        <f t="shared" si="131"/>
        <v>125494.58079367224</v>
      </c>
      <c r="O73" s="78">
        <f t="shared" si="131"/>
        <v>4029.9228695697384</v>
      </c>
      <c r="P73" s="78">
        <f t="shared" ref="P73:U73" si="132">P64-P71</f>
        <v>3806.1560351814842</v>
      </c>
      <c r="Q73" s="78">
        <f t="shared" si="132"/>
        <v>-88379.330952712917</v>
      </c>
      <c r="R73" s="78">
        <f t="shared" si="132"/>
        <v>-100590.07692017581</v>
      </c>
      <c r="S73" s="78">
        <f t="shared" si="132"/>
        <v>-11516.002063870721</v>
      </c>
      <c r="T73" s="78">
        <f t="shared" si="132"/>
        <v>7186.4477113977773</v>
      </c>
      <c r="U73" s="78">
        <f t="shared" si="132"/>
        <v>19257.61126527685</v>
      </c>
      <c r="V73" s="30">
        <f>SUM(D73:F73)</f>
        <v>-170365.78690125165</v>
      </c>
      <c r="W73" s="30">
        <f>SUM(G73:I73)</f>
        <v>24090.167906048242</v>
      </c>
      <c r="X73" s="30">
        <f>SUM(J73:L73)</f>
        <v>158135.61616593378</v>
      </c>
      <c r="Y73" s="30">
        <f>SUM(M73:O73)</f>
        <v>95800.37264401128</v>
      </c>
      <c r="Z73" s="30">
        <f>SUM(P73:R73)</f>
        <v>-185163.25183770724</v>
      </c>
      <c r="AA73" s="30">
        <f>SUM(S73:U73)</f>
        <v>14928.056912803906</v>
      </c>
      <c r="AB73" s="30">
        <f>SUM(D73:O73)</f>
        <v>107660.36981474166</v>
      </c>
      <c r="AC73" s="61">
        <f>SUM(D73:U74)</f>
        <v>-62574.825110161677</v>
      </c>
    </row>
    <row r="74" spans="1:29" hidden="1">
      <c r="A74" s="28">
        <v>19</v>
      </c>
      <c r="B74" s="13"/>
      <c r="C74" s="28"/>
      <c r="D74" s="78"/>
      <c r="E74" s="78"/>
      <c r="F74" s="78"/>
      <c r="G74" s="78"/>
      <c r="H74" s="78"/>
      <c r="I74" s="94"/>
      <c r="J74" s="78"/>
      <c r="K74" s="78"/>
      <c r="L74" s="78"/>
      <c r="M74" s="78"/>
      <c r="N74" s="78"/>
      <c r="O74" s="78"/>
      <c r="P74" s="78"/>
      <c r="Q74" s="78"/>
      <c r="R74" s="78"/>
      <c r="S74" s="78"/>
      <c r="T74" s="78"/>
      <c r="U74" s="78"/>
      <c r="V74" s="31"/>
      <c r="W74" s="31"/>
      <c r="X74" s="31"/>
      <c r="Y74" s="31"/>
      <c r="AB74" s="31"/>
      <c r="AC74" s="31"/>
    </row>
    <row r="75" spans="1:29" ht="14.5" customHeight="1">
      <c r="A75" s="28">
        <v>20</v>
      </c>
      <c r="B75" s="13"/>
      <c r="C75" s="28"/>
      <c r="D75" s="78"/>
      <c r="E75" s="78"/>
      <c r="F75" s="78"/>
      <c r="G75" s="78"/>
      <c r="H75" s="78"/>
      <c r="I75" s="94"/>
      <c r="J75" s="78"/>
      <c r="K75" s="78"/>
      <c r="L75" s="78"/>
      <c r="M75" s="78"/>
      <c r="N75" s="78"/>
      <c r="O75" s="78"/>
      <c r="P75" s="78"/>
      <c r="Q75" s="78"/>
      <c r="R75" s="78"/>
      <c r="S75" s="78"/>
      <c r="T75" s="78"/>
      <c r="U75" s="78"/>
      <c r="V75" s="31"/>
      <c r="W75" s="31"/>
      <c r="X75" s="31"/>
      <c r="Y75" s="31"/>
      <c r="AB75" s="31"/>
      <c r="AC75" s="60"/>
    </row>
    <row r="76" spans="1:29" ht="10.5" customHeight="1">
      <c r="A76" s="28">
        <v>21</v>
      </c>
      <c r="B76" s="71" t="str">
        <f t="shared" ref="B76:C90" si="133">B30</f>
        <v>New Customers</v>
      </c>
      <c r="C76" s="28"/>
      <c r="D76" s="78"/>
      <c r="E76" s="78"/>
      <c r="F76" s="78"/>
      <c r="G76" s="78"/>
      <c r="H76" s="78"/>
      <c r="I76" s="94"/>
      <c r="J76" s="78"/>
      <c r="K76" s="78"/>
      <c r="L76" s="78"/>
      <c r="M76" s="78"/>
      <c r="N76" s="78"/>
      <c r="O76" s="78"/>
      <c r="P76" s="78"/>
      <c r="Q76" s="78"/>
      <c r="R76" s="78"/>
      <c r="S76" s="78"/>
      <c r="T76" s="78"/>
      <c r="U76" s="78"/>
      <c r="V76" s="31"/>
      <c r="W76" s="31"/>
      <c r="X76" s="31"/>
      <c r="Y76" s="31"/>
      <c r="AB76" s="31"/>
      <c r="AC76" s="55"/>
    </row>
    <row r="77" spans="1:29">
      <c r="A77" s="28">
        <v>22</v>
      </c>
      <c r="B77" s="13" t="str">
        <f t="shared" si="133"/>
        <v>Actual Customers New Since Test Year</v>
      </c>
      <c r="C77" s="28" t="str">
        <f t="shared" si="101"/>
        <v>Revenue Reports</v>
      </c>
      <c r="D77" s="106">
        <v>45</v>
      </c>
      <c r="E77" s="106">
        <v>47</v>
      </c>
      <c r="F77" s="106">
        <v>49</v>
      </c>
      <c r="G77" s="106">
        <v>50</v>
      </c>
      <c r="H77" s="106">
        <v>51</v>
      </c>
      <c r="I77" s="155">
        <v>54</v>
      </c>
      <c r="J77" s="106">
        <v>50</v>
      </c>
      <c r="K77" s="106">
        <v>50</v>
      </c>
      <c r="L77" s="106">
        <v>51</v>
      </c>
      <c r="M77" s="106">
        <v>53</v>
      </c>
      <c r="N77" s="106">
        <v>53</v>
      </c>
      <c r="O77" s="106">
        <v>52</v>
      </c>
      <c r="P77" s="102">
        <v>54</v>
      </c>
      <c r="Q77" s="102">
        <v>54</v>
      </c>
      <c r="R77" s="102">
        <v>61</v>
      </c>
      <c r="S77" s="102">
        <v>56</v>
      </c>
      <c r="T77" s="102">
        <v>60</v>
      </c>
      <c r="U77" s="102">
        <v>62</v>
      </c>
      <c r="V77" s="29">
        <f>SUM(D77:F77)</f>
        <v>141</v>
      </c>
      <c r="W77" s="29">
        <f>SUM(G77:I77)</f>
        <v>155</v>
      </c>
      <c r="X77" s="29">
        <f>SUM(J77:L77)</f>
        <v>151</v>
      </c>
      <c r="Y77" s="29">
        <f>SUM(M77:O77)</f>
        <v>158</v>
      </c>
      <c r="Z77" s="29">
        <f>SUM(P77:R77)</f>
        <v>169</v>
      </c>
      <c r="AA77" s="29">
        <f>SUM(S77:U77)</f>
        <v>178</v>
      </c>
      <c r="AB77" s="29">
        <f>SUM(D77:O77)</f>
        <v>605</v>
      </c>
      <c r="AC77" s="60">
        <f>SUM(D77:U77)</f>
        <v>952</v>
      </c>
    </row>
    <row r="78" spans="1:29">
      <c r="A78" s="28">
        <v>23</v>
      </c>
      <c r="B78" s="13" t="str">
        <f t="shared" si="133"/>
        <v>Monthly Fixed Cost Adj. Revenue per Customer</v>
      </c>
      <c r="C78" s="28" t="str">
        <f t="shared" si="101"/>
        <v>Page 3</v>
      </c>
      <c r="D78" s="76">
        <v>385.27828515393969</v>
      </c>
      <c r="E78" s="76">
        <v>353.95683972494766</v>
      </c>
      <c r="F78" s="76">
        <v>305.48267796743409</v>
      </c>
      <c r="G78" s="76">
        <v>220.85966908635282</v>
      </c>
      <c r="H78" s="76">
        <v>177.24685316279178</v>
      </c>
      <c r="I78" s="142">
        <v>136.44535861796732</v>
      </c>
      <c r="J78" s="76">
        <v>138.71808246998273</v>
      </c>
      <c r="K78" s="76">
        <v>170.56667217629797</v>
      </c>
      <c r="L78" s="76">
        <v>131.67267532560601</v>
      </c>
      <c r="M78" s="76">
        <v>225.5622688664788</v>
      </c>
      <c r="N78" s="76">
        <v>343.77040560607225</v>
      </c>
      <c r="O78" s="76">
        <v>388.89021184212896</v>
      </c>
      <c r="P78" s="76">
        <v>385.27828515393969</v>
      </c>
      <c r="Q78" s="76">
        <v>353.95683972494766</v>
      </c>
      <c r="R78" s="76">
        <v>305.48267796743409</v>
      </c>
      <c r="S78" s="76">
        <v>220.85966908635282</v>
      </c>
      <c r="T78" s="76">
        <v>177.24685316279178</v>
      </c>
      <c r="U78" s="76">
        <v>136.44535861796732</v>
      </c>
      <c r="V78" s="67">
        <f>V79/V77</f>
        <v>347.10741503123467</v>
      </c>
      <c r="W78" s="67">
        <f>W79/W77</f>
        <v>177.10078923219521</v>
      </c>
      <c r="X78" s="67">
        <f>X79/X77</f>
        <v>146.88439850278107</v>
      </c>
      <c r="Y78" s="67">
        <f>Y79/Y77</f>
        <v>318.96786558756901</v>
      </c>
      <c r="Z78" s="67">
        <f t="shared" ref="Z78:AA78" si="134">Z79/Z77</f>
        <v>346.46828461226863</v>
      </c>
      <c r="AA78" s="67">
        <f t="shared" si="134"/>
        <v>188.37278029728787</v>
      </c>
      <c r="AB78" s="67">
        <f>AB79/AB77</f>
        <v>246.23014014404993</v>
      </c>
      <c r="AC78" s="55">
        <f>AC79/AC77</f>
        <v>253.20664892808912</v>
      </c>
    </row>
    <row r="79" spans="1:29">
      <c r="A79" s="28">
        <v>24</v>
      </c>
      <c r="B79" s="13" t="str">
        <f t="shared" si="133"/>
        <v>Fixed Cost Adjustment Revenue</v>
      </c>
      <c r="C79" s="28" t="str">
        <f t="shared" si="133"/>
        <v>(22) x (23)</v>
      </c>
      <c r="D79" s="78">
        <f t="shared" ref="D79:I79" si="135">D77*D78</f>
        <v>17337.522831927286</v>
      </c>
      <c r="E79" s="78">
        <f t="shared" si="135"/>
        <v>16635.971467072541</v>
      </c>
      <c r="F79" s="78">
        <f t="shared" si="135"/>
        <v>14968.65122040427</v>
      </c>
      <c r="G79" s="78">
        <f t="shared" si="135"/>
        <v>11042.98345431764</v>
      </c>
      <c r="H79" s="78">
        <f t="shared" si="135"/>
        <v>9039.5895113023817</v>
      </c>
      <c r="I79" s="94">
        <f t="shared" si="135"/>
        <v>7368.0493653702351</v>
      </c>
      <c r="J79" s="78">
        <f t="shared" ref="J79:O79" si="136">J77*J78</f>
        <v>6935.9041234991364</v>
      </c>
      <c r="K79" s="78">
        <f t="shared" si="136"/>
        <v>8528.333608814899</v>
      </c>
      <c r="L79" s="78">
        <f t="shared" si="136"/>
        <v>6715.306441605906</v>
      </c>
      <c r="M79" s="78">
        <f t="shared" si="136"/>
        <v>11954.800249923377</v>
      </c>
      <c r="N79" s="78">
        <f t="shared" si="136"/>
        <v>18219.831497121828</v>
      </c>
      <c r="O79" s="78">
        <f t="shared" si="136"/>
        <v>20222.291015790706</v>
      </c>
      <c r="P79" s="78">
        <f t="shared" ref="P79:T79" si="137">P77*P78</f>
        <v>20805.027398312744</v>
      </c>
      <c r="Q79" s="78">
        <f t="shared" si="137"/>
        <v>19113.669345147173</v>
      </c>
      <c r="R79" s="78">
        <f t="shared" si="137"/>
        <v>18634.443356013478</v>
      </c>
      <c r="S79" s="78">
        <f t="shared" si="137"/>
        <v>12368.141468835758</v>
      </c>
      <c r="T79" s="78">
        <f t="shared" si="137"/>
        <v>10634.811189767506</v>
      </c>
      <c r="U79" s="223">
        <f>U77*U78+2067.79</f>
        <v>10527.402234313973</v>
      </c>
      <c r="V79" s="30">
        <f>SUM(D79:F79)</f>
        <v>48942.14551940409</v>
      </c>
      <c r="W79" s="30">
        <f>SUM(G79:I79)</f>
        <v>27450.622330990256</v>
      </c>
      <c r="X79" s="30">
        <f>SUM(J79:L79)</f>
        <v>22179.544173919941</v>
      </c>
      <c r="Y79" s="30">
        <f>SUM(M79:O79)</f>
        <v>50396.922762835908</v>
      </c>
      <c r="Z79" s="30">
        <f>SUM(P79:R79)</f>
        <v>58553.140099473399</v>
      </c>
      <c r="AA79" s="30">
        <f>SUM(S79:U79)</f>
        <v>33530.354892917239</v>
      </c>
      <c r="AB79" s="30">
        <f>SUM(D79:O79)</f>
        <v>148969.2347871502</v>
      </c>
      <c r="AC79" s="61">
        <f>SUM(D79:U79)</f>
        <v>241052.72977954085</v>
      </c>
    </row>
    <row r="80" spans="1:29" ht="6" customHeight="1">
      <c r="A80" s="28">
        <v>25</v>
      </c>
      <c r="B80" s="13"/>
      <c r="C80" s="28"/>
      <c r="D80" s="79"/>
      <c r="E80" s="79"/>
      <c r="F80" s="79"/>
      <c r="G80" s="79"/>
      <c r="H80" s="79"/>
      <c r="I80" s="139"/>
      <c r="J80" s="79"/>
      <c r="K80" s="79"/>
      <c r="L80" s="79"/>
      <c r="M80" s="79"/>
      <c r="N80" s="79"/>
      <c r="O80" s="79"/>
      <c r="P80" s="79"/>
      <c r="Q80" s="79"/>
      <c r="R80" s="79"/>
      <c r="S80" s="79"/>
      <c r="T80" s="79"/>
      <c r="U80" s="79"/>
      <c r="V80" s="30"/>
      <c r="W80" s="30"/>
      <c r="X80" s="30"/>
      <c r="Y80" s="30"/>
      <c r="Z80" s="30"/>
      <c r="AA80" s="30"/>
      <c r="AB80" s="30"/>
      <c r="AC80" s="61"/>
    </row>
    <row r="81" spans="1:36">
      <c r="A81" s="28">
        <v>26</v>
      </c>
      <c r="B81" s="13" t="str">
        <f t="shared" ref="B81:B83" si="138">B35</f>
        <v>Actual Base Rate Revenue</v>
      </c>
      <c r="C81" s="28" t="str">
        <f t="shared" si="133"/>
        <v>Revenue Reports</v>
      </c>
      <c r="D81" s="107">
        <v>30625.46</v>
      </c>
      <c r="E81" s="107">
        <v>30908.32</v>
      </c>
      <c r="F81" s="107">
        <v>35988.660000000003</v>
      </c>
      <c r="G81" s="107">
        <v>24842.62</v>
      </c>
      <c r="H81" s="107">
        <v>20591.79</v>
      </c>
      <c r="I81" s="156">
        <v>25323.889999999985</v>
      </c>
      <c r="J81" s="107">
        <v>18958.2</v>
      </c>
      <c r="K81" s="107">
        <v>17107.03</v>
      </c>
      <c r="L81" s="107">
        <v>16124.27</v>
      </c>
      <c r="M81" s="107">
        <v>28089.67</v>
      </c>
      <c r="N81" s="107">
        <v>28251.16</v>
      </c>
      <c r="O81" s="107">
        <v>27753.71</v>
      </c>
      <c r="P81" s="104">
        <v>30686.04</v>
      </c>
      <c r="Q81" s="104">
        <v>34200.879999999997</v>
      </c>
      <c r="R81" s="104">
        <v>34429.870000000003</v>
      </c>
      <c r="S81" s="104">
        <v>25397.46</v>
      </c>
      <c r="T81" s="104">
        <v>21441.61</v>
      </c>
      <c r="U81" s="104">
        <v>22121.95</v>
      </c>
      <c r="V81" s="30">
        <f>SUM(D81:F81)</f>
        <v>97522.44</v>
      </c>
      <c r="W81" s="30">
        <f>SUM(G81:I81)</f>
        <v>70758.299999999988</v>
      </c>
      <c r="X81" s="30">
        <f>SUM(J81:L81)</f>
        <v>52189.5</v>
      </c>
      <c r="Y81" s="30">
        <f>SUM(M81:O81)</f>
        <v>84094.540000000008</v>
      </c>
      <c r="Z81" s="30">
        <f>SUM(P81:R81)</f>
        <v>99316.790000000008</v>
      </c>
      <c r="AA81" s="30">
        <f>SUM(S81:U81)</f>
        <v>68961.02</v>
      </c>
      <c r="AB81" s="30">
        <f>SUM(D81:O81)</f>
        <v>304564.77999999997</v>
      </c>
      <c r="AC81" s="61">
        <f>SUM(D81:U81)</f>
        <v>472842.58999999997</v>
      </c>
    </row>
    <row r="82" spans="1:36">
      <c r="A82" s="28">
        <v>27</v>
      </c>
      <c r="B82" s="13" t="str">
        <f t="shared" si="138"/>
        <v>Actual Fixed Charge Revenue</v>
      </c>
      <c r="C82" s="28" t="str">
        <f t="shared" si="133"/>
        <v>Revenue Reports</v>
      </c>
      <c r="D82" s="107">
        <v>4834.72</v>
      </c>
      <c r="E82" s="107">
        <v>10977.25</v>
      </c>
      <c r="F82" s="107">
        <v>11016.77</v>
      </c>
      <c r="G82" s="107">
        <v>5415.17</v>
      </c>
      <c r="H82" s="107">
        <v>5908.49</v>
      </c>
      <c r="I82" s="156">
        <v>5652.37</v>
      </c>
      <c r="J82" s="107">
        <v>5401.83</v>
      </c>
      <c r="K82" s="107">
        <v>5284.25</v>
      </c>
      <c r="L82" s="107">
        <v>5356.37</v>
      </c>
      <c r="M82" s="107">
        <v>5627.55</v>
      </c>
      <c r="N82" s="107">
        <v>5531.93</v>
      </c>
      <c r="O82" s="107">
        <v>5471.76</v>
      </c>
      <c r="P82" s="104">
        <v>5755.05</v>
      </c>
      <c r="Q82" s="104">
        <v>7408.27</v>
      </c>
      <c r="R82" s="104">
        <v>8232.1</v>
      </c>
      <c r="S82" s="104">
        <v>5946.23</v>
      </c>
      <c r="T82" s="104">
        <v>6225.78</v>
      </c>
      <c r="U82" s="104">
        <v>7035.47</v>
      </c>
      <c r="V82" s="30">
        <f>SUM(D82:F82)</f>
        <v>26828.74</v>
      </c>
      <c r="W82" s="30">
        <f>SUM(G82:I82)</f>
        <v>16976.03</v>
      </c>
      <c r="X82" s="30">
        <f>SUM(J82:L82)</f>
        <v>16042.45</v>
      </c>
      <c r="Y82" s="30">
        <f>SUM(M82:O82)</f>
        <v>16631.239999999998</v>
      </c>
      <c r="Z82" s="30">
        <f t="shared" ref="Z82:Z83" si="139">SUM(P82:R82)</f>
        <v>21395.42</v>
      </c>
      <c r="AA82" s="30">
        <f t="shared" ref="AA82:AA83" si="140">SUM(S82:U82)</f>
        <v>19207.48</v>
      </c>
      <c r="AB82" s="30">
        <f>SUM(D82:O82)</f>
        <v>76478.460000000006</v>
      </c>
      <c r="AC82" s="61">
        <f t="shared" ref="AC82:AC83" si="141">SUM(D82:U82)</f>
        <v>117081.36000000002</v>
      </c>
    </row>
    <row r="83" spans="1:36">
      <c r="A83" s="28">
        <v>28</v>
      </c>
      <c r="B83" s="13" t="str">
        <f t="shared" si="138"/>
        <v>Actual Usage (Therms)</v>
      </c>
      <c r="C83" s="28" t="str">
        <f t="shared" si="133"/>
        <v>Revenue Reports</v>
      </c>
      <c r="D83" s="106">
        <v>116679.664</v>
      </c>
      <c r="E83" s="106">
        <v>104648.36500000001</v>
      </c>
      <c r="F83" s="106">
        <v>126065.04025000001</v>
      </c>
      <c r="G83" s="106">
        <v>90992.943710000007</v>
      </c>
      <c r="H83" s="106">
        <v>74132.621400000004</v>
      </c>
      <c r="I83" s="155">
        <v>102506.02500000002</v>
      </c>
      <c r="J83" s="106">
        <v>66914.964999999997</v>
      </c>
      <c r="K83" s="106">
        <v>59671.642</v>
      </c>
      <c r="L83" s="106">
        <v>53450.203999999998</v>
      </c>
      <c r="M83" s="106">
        <v>115284</v>
      </c>
      <c r="N83" s="106">
        <v>107821.58900000001</v>
      </c>
      <c r="O83" s="106">
        <v>101366.77800000001</v>
      </c>
      <c r="P83" s="102">
        <v>113481.90700000001</v>
      </c>
      <c r="Q83" s="102">
        <v>127532.325</v>
      </c>
      <c r="R83" s="102">
        <v>124671.268</v>
      </c>
      <c r="S83" s="102">
        <v>91604.127999999997</v>
      </c>
      <c r="T83" s="102">
        <v>75026.103000000003</v>
      </c>
      <c r="U83" s="102">
        <v>79483.065000000002</v>
      </c>
      <c r="V83" s="126">
        <f>SUM(D83:F83)</f>
        <v>347393.06925</v>
      </c>
      <c r="W83" s="126">
        <f>SUM(G83:I83)</f>
        <v>267631.59011000005</v>
      </c>
      <c r="X83" s="126">
        <f>SUM(J83:L83)</f>
        <v>180036.81099999999</v>
      </c>
      <c r="Y83" s="126">
        <f>SUM(M83:O83)</f>
        <v>324472.36700000003</v>
      </c>
      <c r="Z83" s="30">
        <f t="shared" si="139"/>
        <v>365685.5</v>
      </c>
      <c r="AA83" s="30">
        <f t="shared" si="140"/>
        <v>246113.296</v>
      </c>
      <c r="AB83" s="126">
        <f>SUM(D83:O83)</f>
        <v>1119533.83736</v>
      </c>
      <c r="AC83" s="61">
        <f t="shared" si="141"/>
        <v>1731332.6333599999</v>
      </c>
    </row>
    <row r="84" spans="1:36" hidden="1">
      <c r="A84" s="28">
        <v>29</v>
      </c>
      <c r="B84" s="13"/>
      <c r="C84" s="28"/>
      <c r="D84" s="80"/>
      <c r="E84" s="80"/>
      <c r="F84" s="80"/>
      <c r="G84" s="80"/>
      <c r="H84" s="80"/>
      <c r="I84" s="140"/>
      <c r="J84" s="80"/>
      <c r="K84" s="80"/>
      <c r="L84" s="80"/>
      <c r="M84" s="80"/>
      <c r="N84" s="80"/>
      <c r="O84" s="80"/>
      <c r="P84" s="172"/>
      <c r="Q84" s="172"/>
      <c r="R84" s="172"/>
      <c r="S84" s="172"/>
      <c r="T84" s="172"/>
      <c r="U84" s="172"/>
      <c r="V84" s="31"/>
      <c r="W84" s="31"/>
      <c r="X84" s="31"/>
      <c r="Y84" s="31"/>
      <c r="AB84" s="31"/>
      <c r="AC84" s="80">
        <f>AC85/AC83</f>
        <v>0</v>
      </c>
    </row>
    <row r="85" spans="1:36" ht="6.65" customHeight="1">
      <c r="A85" s="28">
        <v>30</v>
      </c>
      <c r="B85" s="13"/>
      <c r="C85" s="28"/>
      <c r="D85" s="78"/>
      <c r="E85" s="78"/>
      <c r="F85" s="78"/>
      <c r="G85" s="78"/>
      <c r="H85" s="78"/>
      <c r="I85" s="94"/>
      <c r="J85" s="78"/>
      <c r="K85" s="78"/>
      <c r="L85" s="78"/>
      <c r="M85" s="78"/>
      <c r="N85" s="78"/>
      <c r="O85" s="78"/>
      <c r="P85" s="105"/>
      <c r="Q85" s="105"/>
      <c r="R85" s="105"/>
      <c r="S85" s="105"/>
      <c r="T85" s="105"/>
      <c r="U85" s="105"/>
      <c r="V85" s="31"/>
      <c r="W85" s="31"/>
      <c r="X85" s="31"/>
      <c r="Y85" s="31"/>
      <c r="AB85" s="31"/>
      <c r="AC85" s="61"/>
    </row>
    <row r="86" spans="1:36">
      <c r="A86" s="28">
        <v>31</v>
      </c>
      <c r="B86" s="13" t="str">
        <f t="shared" ref="B86:B88" si="142">B40</f>
        <v>Fixed Production and UG Storage Rate per Therm</v>
      </c>
      <c r="C86" s="28" t="s">
        <v>99</v>
      </c>
      <c r="D86" s="80">
        <v>2.7813999999999998E-2</v>
      </c>
      <c r="E86" s="80">
        <v>2.7813999999999998E-2</v>
      </c>
      <c r="F86" s="80">
        <v>2.7813999999999998E-2</v>
      </c>
      <c r="G86" s="80">
        <v>2.7813999999999998E-2</v>
      </c>
      <c r="H86" s="80">
        <v>2.7813999999999998E-2</v>
      </c>
      <c r="I86" s="140">
        <v>2.7813999999999998E-2</v>
      </c>
      <c r="J86" s="80">
        <v>2.7813999999999998E-2</v>
      </c>
      <c r="K86" s="80">
        <v>2.7813999999999998E-2</v>
      </c>
      <c r="L86" s="80">
        <v>2.7813999999999998E-2</v>
      </c>
      <c r="M86" s="80">
        <v>2.7813999999999998E-2</v>
      </c>
      <c r="N86" s="80">
        <v>2.7813999999999998E-2</v>
      </c>
      <c r="O86" s="80">
        <v>2.7813999999999998E-2</v>
      </c>
      <c r="P86" s="80">
        <v>2.7813999999999998E-2</v>
      </c>
      <c r="Q86" s="80">
        <v>2.7813999999999998E-2</v>
      </c>
      <c r="R86" s="80">
        <v>2.7813999999999998E-2</v>
      </c>
      <c r="S86" s="80">
        <v>2.7813999999999998E-2</v>
      </c>
      <c r="T86" s="80">
        <v>2.7813999999999998E-2</v>
      </c>
      <c r="U86" s="80">
        <v>2.7813999999999998E-2</v>
      </c>
      <c r="V86" s="80">
        <v>2.7813999999999998E-2</v>
      </c>
      <c r="W86" s="80">
        <v>2.7813999999999998E-2</v>
      </c>
      <c r="X86" s="80">
        <v>2.7813999999999998E-2</v>
      </c>
      <c r="Y86" s="80">
        <v>2.7813999999999998E-2</v>
      </c>
      <c r="Z86" s="80">
        <v>2.7813999999999998E-2</v>
      </c>
      <c r="AA86" s="80">
        <v>2.7813999999999998E-2</v>
      </c>
      <c r="AB86" s="80">
        <v>2.7813999999999998E-2</v>
      </c>
      <c r="AC86" s="80">
        <v>2.7813999999999998E-2</v>
      </c>
    </row>
    <row r="87" spans="1:36">
      <c r="A87" s="28">
        <v>32</v>
      </c>
      <c r="B87" s="13" t="str">
        <f t="shared" si="142"/>
        <v>Fixed Production and UG Storage Revenue</v>
      </c>
      <c r="C87" s="28" t="str">
        <f t="shared" si="133"/>
        <v>(30) x (31)</v>
      </c>
      <c r="D87" s="78">
        <f t="shared" ref="D87:I87" si="143">D83*D86</f>
        <v>3245.328174496</v>
      </c>
      <c r="E87" s="78">
        <f t="shared" si="143"/>
        <v>2910.6896241099998</v>
      </c>
      <c r="F87" s="78">
        <f t="shared" si="143"/>
        <v>3506.3730295135001</v>
      </c>
      <c r="G87" s="78">
        <f t="shared" si="143"/>
        <v>2530.8777363499398</v>
      </c>
      <c r="H87" s="78">
        <f t="shared" si="143"/>
        <v>2061.9247316196002</v>
      </c>
      <c r="I87" s="94">
        <f t="shared" si="143"/>
        <v>2851.1025793500003</v>
      </c>
      <c r="J87" s="78">
        <f t="shared" ref="J87:O87" si="144">J83*J86</f>
        <v>1861.1728365099998</v>
      </c>
      <c r="K87" s="78">
        <f t="shared" si="144"/>
        <v>1659.7070505879999</v>
      </c>
      <c r="L87" s="78">
        <f t="shared" si="144"/>
        <v>1486.6639740559999</v>
      </c>
      <c r="M87" s="78">
        <f t="shared" si="144"/>
        <v>3206.509176</v>
      </c>
      <c r="N87" s="78">
        <f t="shared" si="144"/>
        <v>2998.949676446</v>
      </c>
      <c r="O87" s="78">
        <f t="shared" si="144"/>
        <v>2819.4155632920001</v>
      </c>
      <c r="P87" s="78">
        <f t="shared" ref="P87:U87" si="145">P83*P86</f>
        <v>3156.385761298</v>
      </c>
      <c r="Q87" s="78">
        <f t="shared" si="145"/>
        <v>3547.1840875499997</v>
      </c>
      <c r="R87" s="78">
        <f t="shared" si="145"/>
        <v>3467.6066481519997</v>
      </c>
      <c r="S87" s="78">
        <f t="shared" si="145"/>
        <v>2547.8772161919997</v>
      </c>
      <c r="T87" s="78">
        <f>T83*T86</f>
        <v>2086.776028842</v>
      </c>
      <c r="U87" s="78">
        <f t="shared" si="145"/>
        <v>2210.7419699100001</v>
      </c>
      <c r="V87" s="30">
        <f>SUM(D87:F87)</f>
        <v>9662.3908281194999</v>
      </c>
      <c r="W87" s="30">
        <f>SUM(G87:I87)</f>
        <v>7443.9050473195402</v>
      </c>
      <c r="X87" s="30">
        <f>SUM(J87:L87)</f>
        <v>5007.5438611539994</v>
      </c>
      <c r="Y87" s="30">
        <f>SUM(M87:O87)</f>
        <v>9024.8744157379988</v>
      </c>
      <c r="Z87" s="30">
        <f>SUM(P87:R87)</f>
        <v>10171.176496999999</v>
      </c>
      <c r="AA87" s="30">
        <f>SUM(S87:U87)</f>
        <v>6845.3952149440001</v>
      </c>
      <c r="AB87" s="30">
        <f>SUM(D87:O87)</f>
        <v>31138.714152331035</v>
      </c>
      <c r="AC87" s="61">
        <f>SUM(D87:U87)</f>
        <v>48155.285864275036</v>
      </c>
    </row>
    <row r="88" spans="1:36">
      <c r="A88" s="28">
        <v>33</v>
      </c>
      <c r="B88" s="13" t="str">
        <f t="shared" si="142"/>
        <v>Customer Fixed Cost Adjustment Revenue</v>
      </c>
      <c r="C88" s="28" t="str">
        <f t="shared" si="133"/>
        <v>(26) - (27) - (30) - (32)</v>
      </c>
      <c r="D88" s="78">
        <f t="shared" ref="D88:I88" si="146">D81-D82-D85-D87</f>
        <v>22545.411825503998</v>
      </c>
      <c r="E88" s="78">
        <f t="shared" si="146"/>
        <v>17020.380375889999</v>
      </c>
      <c r="F88" s="78">
        <f t="shared" si="146"/>
        <v>21465.516970486504</v>
      </c>
      <c r="G88" s="78">
        <f t="shared" si="146"/>
        <v>16896.572263650058</v>
      </c>
      <c r="H88" s="78">
        <f t="shared" si="146"/>
        <v>12621.375268380401</v>
      </c>
      <c r="I88" s="94">
        <f t="shared" si="146"/>
        <v>16820.417420649985</v>
      </c>
      <c r="J88" s="78">
        <f t="shared" ref="J88:O88" si="147">J81-J82-J85-J87</f>
        <v>11695.19716349</v>
      </c>
      <c r="K88" s="78">
        <f t="shared" si="147"/>
        <v>10163.072949411999</v>
      </c>
      <c r="L88" s="78">
        <f t="shared" si="147"/>
        <v>9281.2360259440011</v>
      </c>
      <c r="M88" s="78">
        <f t="shared" si="147"/>
        <v>19255.610823999999</v>
      </c>
      <c r="N88" s="78">
        <f t="shared" si="147"/>
        <v>19720.280323553998</v>
      </c>
      <c r="O88" s="78">
        <f t="shared" si="147"/>
        <v>19462.534436707996</v>
      </c>
      <c r="P88" s="78">
        <f t="shared" ref="P88:U88" si="148">P81-P82-P85-P87</f>
        <v>21774.604238702002</v>
      </c>
      <c r="Q88" s="78">
        <f t="shared" si="148"/>
        <v>23245.425912449999</v>
      </c>
      <c r="R88" s="78">
        <f t="shared" si="148"/>
        <v>22730.163351848005</v>
      </c>
      <c r="S88" s="78">
        <f t="shared" si="148"/>
        <v>16903.352783808001</v>
      </c>
      <c r="T88" s="78">
        <f t="shared" si="148"/>
        <v>13129.053971158002</v>
      </c>
      <c r="U88" s="78">
        <f t="shared" si="148"/>
        <v>12875.73803009</v>
      </c>
      <c r="V88" s="30">
        <f>SUM(D88:F88)</f>
        <v>61031.309171880501</v>
      </c>
      <c r="W88" s="30">
        <f>SUM(G88:I88)</f>
        <v>46338.364952680444</v>
      </c>
      <c r="X88" s="30">
        <f>SUM(J88:L88)</f>
        <v>31139.506138846002</v>
      </c>
      <c r="Y88" s="30">
        <f>SUM(M88:O88)</f>
        <v>58438.42558426199</v>
      </c>
      <c r="Z88" s="30">
        <f>SUM(P88:R88)</f>
        <v>67750.193503000002</v>
      </c>
      <c r="AA88" s="30">
        <f>SUM(S88:U88)</f>
        <v>42908.144785056007</v>
      </c>
      <c r="AB88" s="30">
        <f>SUM(D88:O88)</f>
        <v>196947.60584766895</v>
      </c>
      <c r="AC88" s="61">
        <f>SUM(D88:U88)</f>
        <v>307605.94413572497</v>
      </c>
    </row>
    <row r="89" spans="1:36">
      <c r="A89" s="28">
        <v>34</v>
      </c>
      <c r="B89" s="3" t="s">
        <v>27</v>
      </c>
      <c r="C89" s="28"/>
      <c r="D89" s="81">
        <f t="shared" ref="D89:I89" si="149">D88/D77</f>
        <v>501.00915167786661</v>
      </c>
      <c r="E89" s="81">
        <f t="shared" si="149"/>
        <v>362.13575267851064</v>
      </c>
      <c r="F89" s="81">
        <f t="shared" si="149"/>
        <v>438.07177490788786</v>
      </c>
      <c r="G89" s="81">
        <f t="shared" si="149"/>
        <v>337.93144527300115</v>
      </c>
      <c r="H89" s="81">
        <f t="shared" si="149"/>
        <v>247.4779464388314</v>
      </c>
      <c r="I89" s="141">
        <f t="shared" si="149"/>
        <v>311.48921149351821</v>
      </c>
      <c r="J89" s="81">
        <f t="shared" ref="J89:O89" si="150">J88/J77</f>
        <v>233.90394326980001</v>
      </c>
      <c r="K89" s="81">
        <f t="shared" si="150"/>
        <v>203.26145898823998</v>
      </c>
      <c r="L89" s="81">
        <f t="shared" si="150"/>
        <v>181.98502011654904</v>
      </c>
      <c r="M89" s="81">
        <f t="shared" si="150"/>
        <v>363.3134117735849</v>
      </c>
      <c r="N89" s="81">
        <f t="shared" si="150"/>
        <v>372.08076082177354</v>
      </c>
      <c r="O89" s="81">
        <f t="shared" si="150"/>
        <v>374.27950839823069</v>
      </c>
      <c r="P89" s="81">
        <f t="shared" ref="P89:U89" si="151">P88/P77</f>
        <v>403.23341182781485</v>
      </c>
      <c r="Q89" s="81">
        <f t="shared" si="151"/>
        <v>430.47085023055553</v>
      </c>
      <c r="R89" s="81">
        <f t="shared" si="151"/>
        <v>372.62562871881977</v>
      </c>
      <c r="S89" s="81">
        <f t="shared" si="151"/>
        <v>301.84558542514287</v>
      </c>
      <c r="T89" s="81">
        <f t="shared" si="151"/>
        <v>218.81756618596671</v>
      </c>
      <c r="U89" s="81">
        <f t="shared" si="151"/>
        <v>207.67319403370968</v>
      </c>
      <c r="V89" s="67">
        <f>V88/V77</f>
        <v>432.84616433957802</v>
      </c>
      <c r="W89" s="67">
        <f t="shared" ref="W89:Y89" si="152">W88/W77</f>
        <v>298.95719324309965</v>
      </c>
      <c r="X89" s="67">
        <f t="shared" si="152"/>
        <v>206.22189495924505</v>
      </c>
      <c r="Y89" s="67">
        <f t="shared" si="152"/>
        <v>369.86345306494928</v>
      </c>
      <c r="Z89" s="67">
        <f>Z88/Z77</f>
        <v>400.88871895266271</v>
      </c>
      <c r="AA89" s="67">
        <f t="shared" ref="AA89" si="153">AA88/AA77</f>
        <v>241.05699317447196</v>
      </c>
      <c r="AB89" s="67">
        <f>AB88/AB77</f>
        <v>325.5332328060644</v>
      </c>
      <c r="AC89" s="67">
        <f>AC88/AC77</f>
        <v>323.11548753752623</v>
      </c>
    </row>
    <row r="90" spans="1:36">
      <c r="A90" s="28">
        <v>35</v>
      </c>
      <c r="B90" s="13" t="str">
        <f t="shared" ref="B90" si="154">B44</f>
        <v>New Customer Deferral - Surcharge (Rebate)</v>
      </c>
      <c r="C90" s="28" t="str">
        <f t="shared" si="133"/>
        <v>(9) - (33)</v>
      </c>
      <c r="D90" s="78">
        <f t="shared" ref="D90:I90" si="155">D79-D88</f>
        <v>-5207.8889935767111</v>
      </c>
      <c r="E90" s="78">
        <f t="shared" si="155"/>
        <v>-384.40890881745872</v>
      </c>
      <c r="F90" s="78">
        <f t="shared" si="155"/>
        <v>-6496.8657500822337</v>
      </c>
      <c r="G90" s="78">
        <f t="shared" si="155"/>
        <v>-5853.5888093324174</v>
      </c>
      <c r="H90" s="78">
        <f t="shared" si="155"/>
        <v>-3581.7857570780197</v>
      </c>
      <c r="I90" s="94">
        <f t="shared" si="155"/>
        <v>-9452.3680552797487</v>
      </c>
      <c r="J90" s="78">
        <f t="shared" ref="J90:O90" si="156">J79-J88</f>
        <v>-4759.2930399908637</v>
      </c>
      <c r="K90" s="78">
        <f t="shared" si="156"/>
        <v>-1634.7393405970997</v>
      </c>
      <c r="L90" s="78">
        <f t="shared" si="156"/>
        <v>-2565.9295843380951</v>
      </c>
      <c r="M90" s="78">
        <f t="shared" si="156"/>
        <v>-7300.8105740766223</v>
      </c>
      <c r="N90" s="78">
        <f t="shared" si="156"/>
        <v>-1500.4488264321699</v>
      </c>
      <c r="O90" s="78">
        <f t="shared" si="156"/>
        <v>759.75657908271023</v>
      </c>
      <c r="P90" s="78">
        <f t="shared" ref="P90:U90" si="157">P79-P88</f>
        <v>-969.576840389258</v>
      </c>
      <c r="Q90" s="78">
        <f t="shared" si="157"/>
        <v>-4131.7565673028257</v>
      </c>
      <c r="R90" s="78">
        <f t="shared" si="157"/>
        <v>-4095.7199958345263</v>
      </c>
      <c r="S90" s="78">
        <f t="shared" si="157"/>
        <v>-4535.2113149722427</v>
      </c>
      <c r="T90" s="78">
        <f t="shared" si="157"/>
        <v>-2494.242781390496</v>
      </c>
      <c r="U90" s="78">
        <f t="shared" si="157"/>
        <v>-2348.3357957760272</v>
      </c>
      <c r="V90" s="30">
        <f>SUM(D90:F90)</f>
        <v>-12089.163652476404</v>
      </c>
      <c r="W90" s="30">
        <f>SUM(G90:I90)</f>
        <v>-18887.742621690188</v>
      </c>
      <c r="X90" s="30">
        <f>SUM(J90:L90)</f>
        <v>-8959.9619649260585</v>
      </c>
      <c r="Y90" s="30">
        <f>SUM(M90:O90)</f>
        <v>-8041.5028214260819</v>
      </c>
      <c r="Z90" s="30">
        <f>SUM(P90:R90)</f>
        <v>-9197.0534035266101</v>
      </c>
      <c r="AA90" s="30">
        <f>SUM(S90:U90)</f>
        <v>-9377.7898921387659</v>
      </c>
      <c r="AB90" s="30">
        <f>SUM(D90:O90)</f>
        <v>-47978.371060518737</v>
      </c>
      <c r="AC90" s="61">
        <f>SUM(D90:U90)</f>
        <v>-66553.214356184122</v>
      </c>
    </row>
    <row r="91" spans="1:36" ht="6" customHeight="1">
      <c r="A91" s="28">
        <v>36</v>
      </c>
      <c r="B91" s="13"/>
      <c r="C91" s="28"/>
      <c r="D91" s="78"/>
      <c r="E91" s="78"/>
      <c r="F91" s="78"/>
      <c r="G91" s="78"/>
      <c r="H91" s="78"/>
      <c r="I91" s="94"/>
      <c r="J91" s="78"/>
      <c r="K91" s="78"/>
      <c r="L91" s="78"/>
      <c r="M91" s="78"/>
      <c r="N91" s="78"/>
      <c r="O91" s="78"/>
      <c r="P91" s="78"/>
      <c r="Q91" s="78"/>
      <c r="R91" s="78"/>
      <c r="S91" s="78"/>
      <c r="T91" s="78"/>
      <c r="U91" s="78"/>
      <c r="V91" s="31"/>
      <c r="W91" s="31"/>
      <c r="X91" s="31"/>
      <c r="Y91" s="31"/>
      <c r="AB91" s="31"/>
      <c r="AC91" s="31"/>
    </row>
    <row r="92" spans="1:36">
      <c r="A92" s="83">
        <v>37</v>
      </c>
      <c r="B92" s="84" t="s">
        <v>100</v>
      </c>
      <c r="C92" s="83" t="str">
        <f t="shared" ref="C92:C95" si="158">C46</f>
        <v>(18) + (35)</v>
      </c>
      <c r="D92" s="85">
        <f t="shared" ref="D92:I92" si="159">D73+D90</f>
        <v>-91644.273126497821</v>
      </c>
      <c r="E92" s="85">
        <f t="shared" si="159"/>
        <v>-34840.912503631793</v>
      </c>
      <c r="F92" s="85">
        <f t="shared" si="159"/>
        <v>-55969.764923598428</v>
      </c>
      <c r="G92" s="85">
        <f t="shared" si="159"/>
        <v>3571.1194218831224</v>
      </c>
      <c r="H92" s="85">
        <f t="shared" si="159"/>
        <v>53718.566586575427</v>
      </c>
      <c r="I92" s="143">
        <f t="shared" si="159"/>
        <v>-52087.260724100488</v>
      </c>
      <c r="J92" s="85">
        <f t="shared" ref="J92:O92" si="160">J73+J90</f>
        <v>78048.413268182907</v>
      </c>
      <c r="K92" s="85">
        <f t="shared" si="160"/>
        <v>86117.039676175977</v>
      </c>
      <c r="L92" s="85">
        <f t="shared" si="160"/>
        <v>-14989.798743351157</v>
      </c>
      <c r="M92" s="85">
        <f t="shared" si="160"/>
        <v>-41024.941593307318</v>
      </c>
      <c r="N92" s="85">
        <f t="shared" si="160"/>
        <v>123994.13196724007</v>
      </c>
      <c r="O92" s="85">
        <f t="shared" si="160"/>
        <v>4789.6794486524486</v>
      </c>
      <c r="P92" s="85">
        <f t="shared" ref="P92:U92" si="161">P73+P90</f>
        <v>2836.5791947922262</v>
      </c>
      <c r="Q92" s="85">
        <f t="shared" si="161"/>
        <v>-92511.087520015746</v>
      </c>
      <c r="R92" s="85">
        <f t="shared" si="161"/>
        <v>-104685.79691601034</v>
      </c>
      <c r="S92" s="85">
        <f t="shared" si="161"/>
        <v>-16051.213378842964</v>
      </c>
      <c r="T92" s="85">
        <f t="shared" si="161"/>
        <v>4692.2049300072813</v>
      </c>
      <c r="U92" s="85">
        <f t="shared" si="161"/>
        <v>16909.275469500823</v>
      </c>
      <c r="V92" s="85">
        <f>SUM(D92:F92)</f>
        <v>-182454.95055372803</v>
      </c>
      <c r="W92" s="85">
        <f>SUM(G92:I92)</f>
        <v>5202.4252843580616</v>
      </c>
      <c r="X92" s="85">
        <f>SUM(J92:L92)</f>
        <v>149175.65420100771</v>
      </c>
      <c r="Y92" s="85">
        <f>SUM(M92:O92)</f>
        <v>87758.869822585199</v>
      </c>
      <c r="Z92" s="85">
        <f>SUM(P92:R92)</f>
        <v>-194360.30524123384</v>
      </c>
      <c r="AA92" s="85">
        <f>SUM(S92:U92)</f>
        <v>5550.2670206651401</v>
      </c>
      <c r="AB92" s="85">
        <f>SUM(D92:O92)</f>
        <v>59681.998754222979</v>
      </c>
      <c r="AC92" s="85">
        <f>SUM(D92:U92)</f>
        <v>-129128.03946634573</v>
      </c>
      <c r="AD92" s="109"/>
      <c r="AE92" s="109"/>
      <c r="AF92" s="109"/>
      <c r="AG92" s="109"/>
      <c r="AH92" s="109"/>
      <c r="AI92" s="109"/>
      <c r="AJ92" s="109"/>
    </row>
    <row r="93" spans="1:36">
      <c r="A93" s="83">
        <v>38</v>
      </c>
      <c r="B93" s="84" t="str">
        <f t="shared" ref="B93" si="162">B47</f>
        <v>Deferral - Revenue Related Expenses</v>
      </c>
      <c r="C93" s="83" t="str">
        <f t="shared" si="158"/>
        <v>Rev Conv Factor</v>
      </c>
      <c r="D93" s="85">
        <f>D92*-0.005839</f>
        <v>535.11091078562072</v>
      </c>
      <c r="E93" s="85">
        <f t="shared" ref="E93:O93" si="163">E92*-0.005839</f>
        <v>203.43608810870603</v>
      </c>
      <c r="F93" s="85">
        <f t="shared" si="163"/>
        <v>326.80745738889118</v>
      </c>
      <c r="G93" s="85">
        <f t="shared" si="163"/>
        <v>-20.851766304375552</v>
      </c>
      <c r="H93" s="85">
        <f t="shared" si="163"/>
        <v>-313.6627102990139</v>
      </c>
      <c r="I93" s="85">
        <f t="shared" si="163"/>
        <v>304.13751536802272</v>
      </c>
      <c r="J93" s="85">
        <f t="shared" si="163"/>
        <v>-455.72468507291995</v>
      </c>
      <c r="K93" s="85">
        <f t="shared" si="163"/>
        <v>-502.8373946691915</v>
      </c>
      <c r="L93" s="85">
        <f t="shared" si="163"/>
        <v>87.525434862427403</v>
      </c>
      <c r="M93" s="85">
        <f t="shared" si="163"/>
        <v>239.54463396332142</v>
      </c>
      <c r="N93" s="85">
        <f t="shared" si="163"/>
        <v>-724.00173655671472</v>
      </c>
      <c r="O93" s="85">
        <f t="shared" si="163"/>
        <v>-27.966938300681644</v>
      </c>
      <c r="P93" s="85">
        <f t="shared" ref="P93:U93" si="164">P92*-0.005839</f>
        <v>-16.562785918391807</v>
      </c>
      <c r="Q93" s="85">
        <f t="shared" si="164"/>
        <v>540.17224002937189</v>
      </c>
      <c r="R93" s="85">
        <f t="shared" si="164"/>
        <v>611.26036819258434</v>
      </c>
      <c r="S93" s="85">
        <f t="shared" si="164"/>
        <v>93.723034919064062</v>
      </c>
      <c r="T93" s="85">
        <f t="shared" si="164"/>
        <v>-27.397784586312515</v>
      </c>
      <c r="U93" s="85">
        <f t="shared" si="164"/>
        <v>-98.733259466415291</v>
      </c>
      <c r="V93" s="85">
        <f>SUM(D93:F93)</f>
        <v>1065.354456283218</v>
      </c>
      <c r="W93" s="85">
        <f>SUM(G93:I93)</f>
        <v>-30.376961235366707</v>
      </c>
      <c r="X93" s="85">
        <f>SUM(J93:L93)</f>
        <v>-871.03664487968399</v>
      </c>
      <c r="Y93" s="85">
        <f>SUM(M93:O93)</f>
        <v>-512.42404089407489</v>
      </c>
      <c r="Z93" s="85">
        <f>SUM(P93:R93)</f>
        <v>1134.8698223035644</v>
      </c>
      <c r="AA93" s="85">
        <f>SUM(S93:U93)</f>
        <v>-32.408009133663739</v>
      </c>
      <c r="AB93" s="85">
        <f>SUM(D93:O93)</f>
        <v>-348.48319072590772</v>
      </c>
      <c r="AC93" s="85">
        <f>SUM(D93:U93)</f>
        <v>753.97862244399312</v>
      </c>
    </row>
    <row r="94" spans="1:36">
      <c r="A94" s="28">
        <v>39</v>
      </c>
      <c r="B94" s="13"/>
      <c r="C94" s="3" t="str">
        <f t="shared" si="158"/>
        <v>Customer Deposit Rate</v>
      </c>
      <c r="D94" s="88">
        <f>D48</f>
        <v>0.02</v>
      </c>
      <c r="E94" s="88">
        <f t="shared" ref="E94:O94" si="165">E48</f>
        <v>0.02</v>
      </c>
      <c r="F94" s="88">
        <f t="shared" si="165"/>
        <v>0.02</v>
      </c>
      <c r="G94" s="88">
        <f t="shared" si="165"/>
        <v>0.02</v>
      </c>
      <c r="H94" s="88">
        <f t="shared" si="165"/>
        <v>0.02</v>
      </c>
      <c r="I94" s="88">
        <f t="shared" si="165"/>
        <v>0.02</v>
      </c>
      <c r="J94" s="88">
        <f t="shared" si="165"/>
        <v>0.02</v>
      </c>
      <c r="K94" s="88">
        <f t="shared" si="165"/>
        <v>0.02</v>
      </c>
      <c r="L94" s="88">
        <f t="shared" si="165"/>
        <v>0.02</v>
      </c>
      <c r="M94" s="88">
        <f t="shared" si="165"/>
        <v>0.02</v>
      </c>
      <c r="N94" s="88">
        <f t="shared" si="165"/>
        <v>0.02</v>
      </c>
      <c r="O94" s="88">
        <f t="shared" si="165"/>
        <v>0.02</v>
      </c>
      <c r="P94" s="88">
        <f t="shared" ref="P94:U94" si="166">P48</f>
        <v>0.01</v>
      </c>
      <c r="Q94" s="88">
        <f t="shared" si="166"/>
        <v>0.01</v>
      </c>
      <c r="R94" s="88">
        <f t="shared" si="166"/>
        <v>0.01</v>
      </c>
      <c r="S94" s="88">
        <f t="shared" si="166"/>
        <v>0.01</v>
      </c>
      <c r="T94" s="88">
        <f t="shared" si="166"/>
        <v>0.01</v>
      </c>
      <c r="U94" s="88">
        <f t="shared" si="166"/>
        <v>0.01</v>
      </c>
      <c r="V94" s="105"/>
      <c r="W94" s="105"/>
      <c r="X94" s="105"/>
      <c r="Y94" s="105"/>
      <c r="Z94" s="105"/>
      <c r="AA94" s="105"/>
      <c r="AB94" s="105"/>
      <c r="AC94" s="31"/>
    </row>
    <row r="95" spans="1:36">
      <c r="A95" s="83">
        <v>40</v>
      </c>
      <c r="B95" s="84" t="str">
        <f>B49</f>
        <v>Interest on Deferral</v>
      </c>
      <c r="C95" s="83" t="str">
        <f t="shared" si="158"/>
        <v>Avg Balance Calc</v>
      </c>
      <c r="D95" s="89">
        <f>(D92+D93)/2*D94/12</f>
        <v>-75.924301846426843</v>
      </c>
      <c r="E95" s="89">
        <f t="shared" ref="E95" si="167">(D98+(E92+E93)/2)*E94/12</f>
        <v>-180.83970787553361</v>
      </c>
      <c r="F95" s="89">
        <f t="shared" ref="F95" si="168">(E98+(F92+F93)/2)*F94/12</f>
        <v>-256.37480229010339</v>
      </c>
      <c r="G95" s="89">
        <f t="shared" ref="G95" si="169">(F98+(G92+G93)/2)*G94/12</f>
        <v>-300.21266846944587</v>
      </c>
      <c r="H95" s="89">
        <f t="shared" ref="H95" si="170">(G98+(H92+H93)/2)*H94/12</f>
        <v>-253.25037997368233</v>
      </c>
      <c r="I95" s="144">
        <f>(H98+(I92+I93)/2)*I94/12</f>
        <v>-252.32098005068519</v>
      </c>
      <c r="J95" s="89">
        <f t="shared" ref="J95:N95" si="171">(I98+(J92+J93)/2)*J94/12</f>
        <v>-231.23354387212171</v>
      </c>
      <c r="K95" s="89">
        <f t="shared" si="171"/>
        <v>-95.613190724727929</v>
      </c>
      <c r="L95" s="89">
        <f>(K98+(L92+L93)/2)*L94/12</f>
        <v>-36.84593856508743</v>
      </c>
      <c r="M95" s="89">
        <f t="shared" si="171"/>
        <v>-83.313740352556508</v>
      </c>
      <c r="N95" s="89">
        <f t="shared" si="171"/>
        <v>-14.715318860361331</v>
      </c>
      <c r="O95" s="89">
        <f>(N98+(O92+O93)/2)*O94/12</f>
        <v>91.95335789240066</v>
      </c>
      <c r="P95" s="89">
        <f t="shared" ref="P95:U95" si="172">(O98+(P92+P93)/2)*P94/12</f>
        <v>49.212360460788005</v>
      </c>
      <c r="Q95" s="89">
        <f t="shared" si="172"/>
        <v>12.107162898208431</v>
      </c>
      <c r="R95" s="89">
        <f t="shared" si="172"/>
        <v>-69.56835272762811</v>
      </c>
      <c r="S95" s="89">
        <f t="shared" si="172"/>
        <v>-119.63967089312683</v>
      </c>
      <c r="T95" s="89">
        <f t="shared" si="172"/>
        <v>-124.44465528491395</v>
      </c>
      <c r="U95" s="89">
        <f t="shared" si="172"/>
        <v>-115.60029693287834</v>
      </c>
      <c r="V95" s="85">
        <f>SUM(D95:F95)</f>
        <v>-513.13881201206391</v>
      </c>
      <c r="W95" s="85">
        <f>SUM(G95:I95)</f>
        <v>-805.78402849381337</v>
      </c>
      <c r="X95" s="85">
        <f>SUM(J95:L95)</f>
        <v>-363.69267316193702</v>
      </c>
      <c r="Y95" s="85">
        <f>SUM(M95:O95)</f>
        <v>-6.075701320517183</v>
      </c>
      <c r="Z95" s="85">
        <f>SUM(P95:R95)</f>
        <v>-8.2488293686316752</v>
      </c>
      <c r="AA95" s="85">
        <f>SUM(S95:U95)</f>
        <v>-359.68462311091912</v>
      </c>
      <c r="AB95" s="85">
        <f>SUM(D95:O95)</f>
        <v>-1688.6912149883317</v>
      </c>
      <c r="AC95" s="89">
        <f>SUM(D95:U95)</f>
        <v>-2056.6246674678823</v>
      </c>
    </row>
    <row r="96" spans="1:36">
      <c r="A96" s="90">
        <v>41</v>
      </c>
      <c r="B96" s="91" t="s">
        <v>29</v>
      </c>
      <c r="C96" s="90"/>
      <c r="D96" s="93">
        <f t="shared" ref="D96:I96" si="173">D92+D93+D95</f>
        <v>-91185.086517558637</v>
      </c>
      <c r="E96" s="93">
        <f t="shared" si="173"/>
        <v>-34818.316123398625</v>
      </c>
      <c r="F96" s="93">
        <f t="shared" si="173"/>
        <v>-55899.332268499646</v>
      </c>
      <c r="G96" s="93">
        <f t="shared" si="173"/>
        <v>3250.0549871093012</v>
      </c>
      <c r="H96" s="93">
        <f t="shared" si="173"/>
        <v>53151.65349630273</v>
      </c>
      <c r="I96" s="150">
        <f t="shared" si="173"/>
        <v>-52035.444188783156</v>
      </c>
      <c r="J96" s="93">
        <f t="shared" ref="J96:O96" si="174">J92+J93+J95</f>
        <v>77361.455039237873</v>
      </c>
      <c r="K96" s="93">
        <f t="shared" si="174"/>
        <v>85518.589090782058</v>
      </c>
      <c r="L96" s="93">
        <f>L92+L93+L95</f>
        <v>-14939.119247053817</v>
      </c>
      <c r="M96" s="93">
        <f t="shared" si="174"/>
        <v>-40868.710699696552</v>
      </c>
      <c r="N96" s="93">
        <f t="shared" si="174"/>
        <v>123255.414911823</v>
      </c>
      <c r="O96" s="93">
        <f t="shared" si="174"/>
        <v>4853.6658682441685</v>
      </c>
      <c r="P96" s="93">
        <f t="shared" ref="P96:U96" si="175">P92+P93+P95</f>
        <v>2869.2287693346225</v>
      </c>
      <c r="Q96" s="93">
        <f t="shared" si="175"/>
        <v>-91958.808117088178</v>
      </c>
      <c r="R96" s="93">
        <f t="shared" si="175"/>
        <v>-104144.10490054538</v>
      </c>
      <c r="S96" s="93">
        <f t="shared" si="175"/>
        <v>-16077.130014817025</v>
      </c>
      <c r="T96" s="93">
        <f t="shared" si="175"/>
        <v>4540.3624901360545</v>
      </c>
      <c r="U96" s="93">
        <f t="shared" si="175"/>
        <v>16694.941913101531</v>
      </c>
      <c r="V96" s="93">
        <f>V92+V93+V95</f>
        <v>-181902.73490945689</v>
      </c>
      <c r="W96" s="93">
        <f t="shared" ref="W96" si="176">W92+W93+W95</f>
        <v>4366.2642946288815</v>
      </c>
      <c r="X96" s="93">
        <f>X92+X93+X95</f>
        <v>147940.92488296609</v>
      </c>
      <c r="Y96" s="93">
        <f>Y92+Y93+Y95</f>
        <v>87240.370080370616</v>
      </c>
      <c r="Z96" s="93">
        <f t="shared" ref="Z96:AA96" si="177">Z92+Z93+Z95</f>
        <v>-193233.6842482989</v>
      </c>
      <c r="AA96" s="93">
        <f t="shared" si="177"/>
        <v>5158.1743884205571</v>
      </c>
      <c r="AB96" s="93">
        <f>AB92+AB93+AB95</f>
        <v>57644.824348508744</v>
      </c>
      <c r="AC96" s="93">
        <f>AC92+AC93+AC95</f>
        <v>-130430.68551136962</v>
      </c>
    </row>
    <row r="97" spans="1:21">
      <c r="A97" s="28">
        <v>42</v>
      </c>
      <c r="B97" s="13"/>
      <c r="C97" s="28"/>
      <c r="D97" s="79"/>
      <c r="E97" s="79"/>
      <c r="F97" s="79"/>
      <c r="G97" s="79"/>
      <c r="H97" s="79"/>
      <c r="I97" s="139"/>
      <c r="J97" s="79"/>
      <c r="K97" s="79"/>
      <c r="L97" s="79"/>
      <c r="M97" s="79"/>
      <c r="N97" s="79"/>
      <c r="O97" s="79"/>
      <c r="P97" s="79"/>
      <c r="Q97" s="79"/>
      <c r="R97" s="79"/>
      <c r="S97" s="79"/>
      <c r="T97" s="79"/>
      <c r="U97" s="79"/>
    </row>
    <row r="98" spans="1:21" ht="26">
      <c r="A98" s="75">
        <v>43</v>
      </c>
      <c r="B98" s="68" t="s">
        <v>101</v>
      </c>
      <c r="C98" s="75" t="str">
        <f t="shared" ref="C98" si="178">C52</f>
        <v>Σ((37), (38), (40))</v>
      </c>
      <c r="D98" s="99">
        <f>D95+D93+D92</f>
        <v>-91185.086517558622</v>
      </c>
      <c r="E98" s="99">
        <f t="shared" ref="E98" si="179">D98+E92+E93+E95</f>
        <v>-126003.40264095725</v>
      </c>
      <c r="F98" s="99">
        <f t="shared" ref="F98" si="180">E98+F92+F93+F95</f>
        <v>-181902.73490945689</v>
      </c>
      <c r="G98" s="99">
        <f t="shared" ref="G98" si="181">F98+G92+G93+G95</f>
        <v>-178652.6799223476</v>
      </c>
      <c r="H98" s="99">
        <f t="shared" ref="H98" si="182">G98+H92+H93+H95</f>
        <v>-125501.02642604487</v>
      </c>
      <c r="I98" s="148">
        <f t="shared" ref="I98:N98" si="183">H98+I92+I93+I95</f>
        <v>-177536.47061482802</v>
      </c>
      <c r="J98" s="99">
        <f>I98+J92+J93+J95</f>
        <v>-100175.01557559015</v>
      </c>
      <c r="K98" s="99">
        <f t="shared" si="183"/>
        <v>-14656.426484808093</v>
      </c>
      <c r="L98" s="99">
        <f>K98+L92+L93+L95</f>
        <v>-29595.545731861912</v>
      </c>
      <c r="M98" s="99">
        <f t="shared" si="183"/>
        <v>-70464.256431558475</v>
      </c>
      <c r="N98" s="99">
        <f t="shared" si="183"/>
        <v>52791.158480264516</v>
      </c>
      <c r="O98" s="99">
        <f>N98+O92+O93+O95</f>
        <v>57644.824348508686</v>
      </c>
      <c r="P98" s="99">
        <f t="shared" ref="P98:U98" si="184">O98+P92+P93+P95</f>
        <v>60514.053117843308</v>
      </c>
      <c r="Q98" s="99">
        <f t="shared" si="184"/>
        <v>-31444.754999244855</v>
      </c>
      <c r="R98" s="99">
        <f t="shared" si="184"/>
        <v>-135588.85989979023</v>
      </c>
      <c r="S98" s="99">
        <f t="shared" si="184"/>
        <v>-151665.98991460723</v>
      </c>
      <c r="T98" s="99">
        <f t="shared" si="184"/>
        <v>-147125.6274244712</v>
      </c>
      <c r="U98" s="99">
        <f t="shared" si="184"/>
        <v>-130430.68551136968</v>
      </c>
    </row>
    <row r="99" spans="1:21" ht="10.15" customHeight="1">
      <c r="A99" s="28"/>
      <c r="B99" s="13"/>
      <c r="C99" s="75"/>
      <c r="D99" s="99"/>
      <c r="E99" s="99"/>
      <c r="F99" s="99"/>
      <c r="G99" s="99"/>
      <c r="H99" s="99"/>
      <c r="I99" s="148"/>
      <c r="J99" s="99"/>
      <c r="K99" s="99"/>
      <c r="L99" s="99"/>
      <c r="M99" s="99"/>
      <c r="N99" s="99"/>
      <c r="O99" s="99"/>
      <c r="P99" s="99"/>
      <c r="Q99" s="99"/>
      <c r="R99" s="99"/>
      <c r="S99" s="99"/>
      <c r="T99" s="99"/>
      <c r="U99" s="99"/>
    </row>
    <row r="100" spans="1:21" ht="26.5">
      <c r="A100" s="75">
        <v>44</v>
      </c>
      <c r="B100" s="100" t="s">
        <v>102</v>
      </c>
      <c r="C100" s="64" t="str">
        <f>"Res line("&amp;A$52&amp;") +Non-Res line ("&amp;A98&amp;")"</f>
        <v>Res line(43) +Non-Res line (43)</v>
      </c>
      <c r="D100" s="101">
        <f t="shared" ref="D100:G100" si="185">D52+D98</f>
        <v>-192110.53186268586</v>
      </c>
      <c r="E100" s="101">
        <f t="shared" si="185"/>
        <v>-418256.47226470726</v>
      </c>
      <c r="F100" s="101">
        <f t="shared" si="185"/>
        <v>-662239.65061984665</v>
      </c>
      <c r="G100" s="101">
        <f t="shared" si="185"/>
        <v>-767695.5700020201</v>
      </c>
      <c r="H100" s="101">
        <f t="shared" ref="H100:O100" si="186">H52+H98</f>
        <v>-757272.90423537442</v>
      </c>
      <c r="I100" s="151">
        <f>I52+I98</f>
        <v>-840877.0945078244</v>
      </c>
      <c r="J100" s="101">
        <f t="shared" si="186"/>
        <v>-811274.46796978824</v>
      </c>
      <c r="K100" s="101">
        <f t="shared" si="186"/>
        <v>-645773.8124423722</v>
      </c>
      <c r="L100" s="101">
        <f t="shared" si="186"/>
        <v>-596396.25803271518</v>
      </c>
      <c r="M100" s="101">
        <f t="shared" si="186"/>
        <v>-1017061.4643244988</v>
      </c>
      <c r="N100" s="101">
        <f t="shared" si="186"/>
        <v>-927327.47346256813</v>
      </c>
      <c r="O100" s="101">
        <f t="shared" si="186"/>
        <v>94054.09447075396</v>
      </c>
      <c r="P100" s="101">
        <f t="shared" ref="P100:U100" si="187">P52+P98</f>
        <v>164481.87606458305</v>
      </c>
      <c r="Q100" s="101">
        <f t="shared" si="187"/>
        <v>-861331.52037069504</v>
      </c>
      <c r="R100" s="101">
        <f t="shared" si="187"/>
        <v>-745236.83527583594</v>
      </c>
      <c r="S100" s="101">
        <f t="shared" si="187"/>
        <v>-666783.14464472036</v>
      </c>
      <c r="T100" s="101">
        <f t="shared" si="187"/>
        <v>-557109.06634648459</v>
      </c>
      <c r="U100" s="101">
        <f t="shared" si="187"/>
        <v>-454886.36060659966</v>
      </c>
    </row>
    <row r="101" spans="1:21">
      <c r="B101" s="224" t="s">
        <v>167</v>
      </c>
      <c r="C101" s="224"/>
    </row>
  </sheetData>
  <mergeCells count="1">
    <mergeCell ref="A5:A6"/>
  </mergeCells>
  <phoneticPr fontId="177" type="noConversion"/>
  <printOptions horizontalCentered="1"/>
  <pageMargins left="0.7" right="0.55000000000000004" top="0.81" bottom="0.47" header="0.39" footer="0.3"/>
  <pageSetup scale="66" firstPageNumber="3" fitToHeight="2" orientation="landscape" useFirstPageNumber="1" r:id="rId1"/>
  <headerFooter scaleWithDoc="0">
    <oddHeader>&amp;C&amp;8Avista Corporation Fixed Cost Adjustment Mechanism
Idaho Jurisdiction
Quarterly Report for 2nd Quarter 2021</oddHeader>
    <oddFooter>&amp;C&amp;F / &amp;A&amp;RPage &amp;P of 9</oddFooter>
  </headerFooter>
  <rowBreaks count="1" manualBreakCount="1">
    <brk id="53"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01"/>
  <sheetViews>
    <sheetView zoomScaleNormal="100" workbookViewId="0">
      <selection activeCell="J105" sqref="J105"/>
    </sheetView>
  </sheetViews>
  <sheetFormatPr defaultColWidth="8.81640625" defaultRowHeight="14.5"/>
  <cols>
    <col min="1" max="1" width="5" style="31" customWidth="1"/>
    <col min="2" max="2" width="39" style="31" customWidth="1"/>
    <col min="3" max="3" width="18.453125" style="31" customWidth="1"/>
    <col min="4" max="4" width="12.26953125" style="31" customWidth="1"/>
    <col min="5" max="5" width="13" style="31" customWidth="1"/>
    <col min="6" max="6" width="12.54296875" style="31" customWidth="1"/>
    <col min="7" max="13" width="10.26953125" style="31" bestFit="1" customWidth="1"/>
    <col min="14" max="15" width="9.26953125" style="31" customWidth="1"/>
    <col min="16" max="16" width="12.81640625" style="31" customWidth="1"/>
    <col min="17" max="17" width="12" style="31" customWidth="1"/>
    <col min="18" max="18" width="11.54296875" style="31" customWidth="1"/>
    <col min="19" max="19" width="11.453125" style="31" customWidth="1"/>
    <col min="20" max="20" width="12.26953125" style="31" customWidth="1"/>
    <col min="21" max="16384" width="8.81640625" style="31"/>
  </cols>
  <sheetData>
    <row r="1" spans="1:20" ht="15.5">
      <c r="A1" s="65" t="s">
        <v>0</v>
      </c>
      <c r="B1" s="65"/>
      <c r="C1" s="65"/>
      <c r="D1" s="65"/>
      <c r="E1" s="65"/>
      <c r="F1" s="65"/>
      <c r="G1" s="65"/>
      <c r="H1" s="65"/>
      <c r="I1" s="65"/>
      <c r="J1" s="65"/>
      <c r="K1" s="65"/>
      <c r="L1" s="65"/>
      <c r="M1" s="65"/>
      <c r="N1" s="65"/>
      <c r="O1" s="65"/>
    </row>
    <row r="2" spans="1:20" ht="15.5">
      <c r="A2" s="65" t="s">
        <v>103</v>
      </c>
      <c r="B2" s="65"/>
      <c r="C2" s="65"/>
      <c r="D2" s="65"/>
      <c r="E2" s="65"/>
      <c r="F2" s="65"/>
      <c r="G2" s="65"/>
      <c r="H2" s="65"/>
      <c r="I2" s="65"/>
      <c r="J2" s="65"/>
      <c r="K2" s="65"/>
      <c r="L2" s="65"/>
      <c r="M2" s="65"/>
      <c r="N2" s="65"/>
      <c r="O2" s="65"/>
    </row>
    <row r="3" spans="1:20" ht="15.5">
      <c r="A3" s="66" t="s">
        <v>113</v>
      </c>
      <c r="B3" s="65"/>
      <c r="C3" s="65"/>
      <c r="D3" s="65"/>
      <c r="E3" s="65"/>
      <c r="F3" s="65"/>
      <c r="G3" s="65"/>
      <c r="H3" s="65"/>
      <c r="I3" s="65"/>
      <c r="J3" s="65"/>
      <c r="K3" s="65"/>
      <c r="L3" s="65"/>
      <c r="M3" s="65"/>
      <c r="N3" s="65"/>
      <c r="O3" s="65"/>
    </row>
    <row r="4" spans="1:20" ht="15.5">
      <c r="A4" s="65" t="s">
        <v>104</v>
      </c>
      <c r="B4" s="65"/>
      <c r="C4" s="65"/>
      <c r="D4" s="65"/>
      <c r="E4" s="65"/>
      <c r="F4" s="65"/>
      <c r="G4" s="65"/>
      <c r="H4" s="65"/>
      <c r="I4" s="65"/>
      <c r="J4" s="65"/>
      <c r="K4" s="65"/>
      <c r="L4" s="65"/>
      <c r="M4" s="65"/>
      <c r="N4" s="65"/>
      <c r="O4" s="65"/>
    </row>
    <row r="5" spans="1:20">
      <c r="A5" s="2" t="s">
        <v>114</v>
      </c>
      <c r="B5" s="51"/>
      <c r="C5" s="51"/>
      <c r="D5" s="69"/>
      <c r="E5" s="69"/>
      <c r="F5" s="69"/>
      <c r="G5" s="69"/>
      <c r="H5" s="69"/>
      <c r="I5" s="69"/>
      <c r="J5" s="69"/>
      <c r="K5" s="69"/>
      <c r="L5" s="69"/>
      <c r="M5" s="69"/>
      <c r="N5" s="69"/>
      <c r="O5" s="69"/>
    </row>
    <row r="6" spans="1:20" ht="28.9" customHeight="1">
      <c r="A6" s="13"/>
      <c r="B6" s="13"/>
      <c r="C6" s="13"/>
      <c r="D6" s="3" t="s">
        <v>73</v>
      </c>
      <c r="E6" s="3" t="s">
        <v>73</v>
      </c>
      <c r="F6" s="3"/>
      <c r="G6" s="3"/>
      <c r="H6" s="3"/>
      <c r="I6" s="3"/>
      <c r="J6" s="3"/>
      <c r="K6" s="3"/>
      <c r="L6" s="3"/>
      <c r="M6" s="3"/>
      <c r="N6" s="3"/>
      <c r="O6" s="3"/>
      <c r="P6" s="27" t="s">
        <v>71</v>
      </c>
      <c r="Q6" s="27" t="s">
        <v>68</v>
      </c>
      <c r="R6" s="27" t="s">
        <v>69</v>
      </c>
      <c r="S6" s="27" t="s">
        <v>70</v>
      </c>
      <c r="T6" s="26" t="s">
        <v>67</v>
      </c>
    </row>
    <row r="7" spans="1:20" ht="26">
      <c r="A7" s="52" t="s">
        <v>1</v>
      </c>
      <c r="B7" s="53"/>
      <c r="C7" s="50" t="s">
        <v>2</v>
      </c>
      <c r="D7" s="70">
        <v>42370</v>
      </c>
      <c r="E7" s="70">
        <f t="shared" ref="E7:O7" si="0">EDATE(D7,1)</f>
        <v>42401</v>
      </c>
      <c r="F7" s="70">
        <f t="shared" si="0"/>
        <v>42430</v>
      </c>
      <c r="G7" s="70">
        <f t="shared" si="0"/>
        <v>42461</v>
      </c>
      <c r="H7" s="70">
        <f t="shared" si="0"/>
        <v>42491</v>
      </c>
      <c r="I7" s="70">
        <f t="shared" si="0"/>
        <v>42522</v>
      </c>
      <c r="J7" s="70">
        <f t="shared" si="0"/>
        <v>42552</v>
      </c>
      <c r="K7" s="70">
        <f t="shared" si="0"/>
        <v>42583</v>
      </c>
      <c r="L7" s="70">
        <f t="shared" si="0"/>
        <v>42614</v>
      </c>
      <c r="M7" s="70">
        <f t="shared" si="0"/>
        <v>42644</v>
      </c>
      <c r="N7" s="70">
        <f t="shared" si="0"/>
        <v>42675</v>
      </c>
      <c r="O7" s="70">
        <f t="shared" si="0"/>
        <v>42705</v>
      </c>
      <c r="P7" s="54" t="s">
        <v>3</v>
      </c>
      <c r="Q7" s="10" t="s">
        <v>3</v>
      </c>
      <c r="R7" s="10" t="s">
        <v>3</v>
      </c>
      <c r="S7" s="10" t="s">
        <v>3</v>
      </c>
      <c r="T7" s="10" t="s">
        <v>3</v>
      </c>
    </row>
    <row r="8" spans="1:20">
      <c r="A8" s="28"/>
      <c r="B8" s="28" t="s">
        <v>4</v>
      </c>
      <c r="C8" s="28" t="s">
        <v>5</v>
      </c>
      <c r="D8" s="28" t="s">
        <v>6</v>
      </c>
      <c r="E8" s="28" t="s">
        <v>7</v>
      </c>
      <c r="F8" s="28" t="s">
        <v>8</v>
      </c>
      <c r="G8" s="28" t="s">
        <v>9</v>
      </c>
      <c r="H8" s="28" t="s">
        <v>10</v>
      </c>
      <c r="I8" s="28" t="s">
        <v>11</v>
      </c>
      <c r="J8" s="28" t="s">
        <v>12</v>
      </c>
      <c r="K8" s="28" t="s">
        <v>13</v>
      </c>
      <c r="L8" s="28" t="s">
        <v>14</v>
      </c>
      <c r="M8" s="28" t="s">
        <v>15</v>
      </c>
      <c r="N8" s="28" t="s">
        <v>16</v>
      </c>
      <c r="O8" s="28" t="s">
        <v>17</v>
      </c>
      <c r="P8" s="28" t="s">
        <v>18</v>
      </c>
      <c r="Q8" s="28" t="s">
        <v>109</v>
      </c>
      <c r="R8" s="28" t="s">
        <v>110</v>
      </c>
      <c r="S8" s="28" t="s">
        <v>111</v>
      </c>
      <c r="T8" s="28" t="s">
        <v>112</v>
      </c>
    </row>
    <row r="9" spans="1:20">
      <c r="A9" s="28"/>
      <c r="B9" s="1" t="s">
        <v>19</v>
      </c>
      <c r="C9" s="28"/>
      <c r="D9" s="3"/>
      <c r="E9" s="3"/>
      <c r="F9" s="3"/>
      <c r="G9" s="3"/>
      <c r="H9" s="3"/>
      <c r="I9" s="3"/>
      <c r="J9" s="3"/>
      <c r="K9" s="3"/>
      <c r="L9" s="3"/>
      <c r="M9" s="3"/>
      <c r="N9" s="3"/>
      <c r="O9" s="3"/>
    </row>
    <row r="10" spans="1:20">
      <c r="A10" s="28"/>
      <c r="B10" s="71"/>
      <c r="C10" s="28"/>
      <c r="D10" s="3"/>
      <c r="E10" s="3"/>
      <c r="F10" s="3"/>
      <c r="G10" s="3"/>
      <c r="H10" s="3"/>
      <c r="I10" s="3"/>
      <c r="J10" s="3"/>
      <c r="K10" s="3"/>
      <c r="L10" s="3"/>
      <c r="M10" s="3"/>
      <c r="N10" s="3"/>
      <c r="O10" s="3"/>
    </row>
    <row r="11" spans="1:20">
      <c r="A11" s="28">
        <v>1</v>
      </c>
      <c r="B11" s="13" t="s">
        <v>74</v>
      </c>
      <c r="C11" s="28" t="s">
        <v>75</v>
      </c>
      <c r="D11" s="102">
        <v>78021</v>
      </c>
      <c r="E11" s="102">
        <v>78174</v>
      </c>
      <c r="F11" s="102">
        <v>78273</v>
      </c>
      <c r="G11" s="102"/>
      <c r="H11" s="102"/>
      <c r="I11" s="102"/>
      <c r="J11" s="102"/>
      <c r="K11" s="102"/>
      <c r="L11" s="102"/>
      <c r="M11" s="102"/>
      <c r="N11" s="102"/>
      <c r="O11" s="103"/>
    </row>
    <row r="12" spans="1:20">
      <c r="A12" s="49">
        <v>2</v>
      </c>
      <c r="B12" s="13" t="s">
        <v>105</v>
      </c>
      <c r="C12" s="28" t="s">
        <v>75</v>
      </c>
      <c r="D12" s="102">
        <v>8841051</v>
      </c>
      <c r="E12" s="102">
        <v>6461869</v>
      </c>
      <c r="F12" s="102">
        <v>5909720</v>
      </c>
      <c r="G12" s="102"/>
      <c r="H12" s="102"/>
      <c r="I12" s="102"/>
      <c r="J12" s="102"/>
      <c r="K12" s="102"/>
      <c r="L12" s="102"/>
      <c r="M12" s="102"/>
      <c r="N12" s="102"/>
      <c r="O12" s="103"/>
    </row>
    <row r="13" spans="1:20">
      <c r="A13" s="28">
        <v>3</v>
      </c>
      <c r="B13" s="13" t="s">
        <v>77</v>
      </c>
      <c r="C13" s="28" t="s">
        <v>75</v>
      </c>
      <c r="D13" s="104">
        <v>4615976.3621499995</v>
      </c>
      <c r="E13" s="104">
        <v>3501267.3593100002</v>
      </c>
      <c r="F13" s="104">
        <v>3242491.5907600001</v>
      </c>
      <c r="G13" s="104"/>
      <c r="H13" s="104"/>
      <c r="I13" s="104"/>
      <c r="J13" s="104"/>
      <c r="K13" s="104"/>
      <c r="L13" s="104"/>
      <c r="M13" s="104"/>
      <c r="N13" s="104"/>
      <c r="O13" s="105"/>
    </row>
    <row r="14" spans="1:20">
      <c r="A14" s="49">
        <v>4</v>
      </c>
      <c r="B14" s="13" t="s">
        <v>78</v>
      </c>
      <c r="C14" s="28" t="s">
        <v>75</v>
      </c>
      <c r="D14" s="104">
        <v>373822.76</v>
      </c>
      <c r="E14" s="104">
        <v>412061.96</v>
      </c>
      <c r="F14" s="104">
        <v>412461.76</v>
      </c>
      <c r="G14" s="104"/>
      <c r="H14" s="104"/>
      <c r="I14" s="104"/>
      <c r="J14" s="104"/>
      <c r="K14" s="104"/>
      <c r="L14" s="104"/>
      <c r="M14" s="104"/>
      <c r="N14" s="104"/>
      <c r="O14" s="105"/>
    </row>
    <row r="15" spans="1:20">
      <c r="A15" s="28">
        <v>5</v>
      </c>
      <c r="B15" s="13"/>
      <c r="C15" s="28"/>
      <c r="D15" s="74"/>
      <c r="E15" s="74"/>
      <c r="F15" s="74"/>
      <c r="G15" s="74"/>
      <c r="H15" s="74"/>
      <c r="I15" s="74"/>
      <c r="J15" s="74"/>
      <c r="K15" s="74"/>
      <c r="L15" s="74"/>
      <c r="M15" s="74"/>
      <c r="N15" s="74"/>
      <c r="O15" s="74"/>
    </row>
    <row r="16" spans="1:20">
      <c r="A16" s="49">
        <v>6</v>
      </c>
      <c r="B16" s="71" t="s">
        <v>79</v>
      </c>
      <c r="C16" s="28"/>
      <c r="D16" s="74"/>
      <c r="E16" s="74"/>
      <c r="F16" s="74"/>
      <c r="G16" s="74"/>
      <c r="H16" s="74"/>
      <c r="I16" s="74"/>
      <c r="J16" s="74"/>
      <c r="K16" s="74"/>
      <c r="L16" s="74"/>
      <c r="M16" s="74"/>
      <c r="N16" s="74"/>
      <c r="O16" s="74"/>
    </row>
    <row r="17" spans="1:20">
      <c r="A17" s="28">
        <v>7</v>
      </c>
      <c r="B17" s="13" t="s">
        <v>80</v>
      </c>
      <c r="C17" s="28" t="str">
        <f>"("&amp;A11&amp;") - ("&amp;A32&amp;")"</f>
        <v>(1) - (22)</v>
      </c>
      <c r="D17" s="74">
        <f>D11-D32</f>
        <v>76205</v>
      </c>
      <c r="E17" s="74">
        <f t="shared" ref="E17:O17" si="1">E11-E32</f>
        <v>76196</v>
      </c>
      <c r="F17" s="74">
        <f t="shared" si="1"/>
        <v>76143</v>
      </c>
      <c r="G17" s="74">
        <f t="shared" si="1"/>
        <v>0</v>
      </c>
      <c r="H17" s="74">
        <f t="shared" si="1"/>
        <v>0</v>
      </c>
      <c r="I17" s="74">
        <f t="shared" si="1"/>
        <v>0</v>
      </c>
      <c r="J17" s="74">
        <f t="shared" si="1"/>
        <v>0</v>
      </c>
      <c r="K17" s="74">
        <f t="shared" si="1"/>
        <v>0</v>
      </c>
      <c r="L17" s="74">
        <f t="shared" si="1"/>
        <v>0</v>
      </c>
      <c r="M17" s="74">
        <f t="shared" si="1"/>
        <v>0</v>
      </c>
      <c r="N17" s="74">
        <f t="shared" si="1"/>
        <v>0</v>
      </c>
      <c r="O17" s="74">
        <f t="shared" si="1"/>
        <v>0</v>
      </c>
      <c r="P17" s="29">
        <f>SUM(D17:F17)</f>
        <v>228544</v>
      </c>
      <c r="Q17" s="29">
        <f>SUM(G17:I17)</f>
        <v>0</v>
      </c>
      <c r="R17" s="29">
        <f>SUM(J17:L17)</f>
        <v>0</v>
      </c>
      <c r="S17" s="29">
        <f>SUM(M17:O17)</f>
        <v>0</v>
      </c>
      <c r="T17" s="29">
        <f>SUM(D17:O17)</f>
        <v>228544</v>
      </c>
    </row>
    <row r="18" spans="1:20">
      <c r="A18" s="49">
        <v>8</v>
      </c>
      <c r="B18" s="68" t="s">
        <v>81</v>
      </c>
      <c r="C18" s="75" t="s">
        <v>82</v>
      </c>
      <c r="D18" s="76">
        <v>56.043384108173441</v>
      </c>
      <c r="E18" s="76">
        <v>48.88080197869796</v>
      </c>
      <c r="F18" s="76">
        <v>42.768047410731207</v>
      </c>
      <c r="G18" s="77">
        <v>24.656470729597984</v>
      </c>
      <c r="H18" s="77">
        <v>16.040244822617421</v>
      </c>
      <c r="I18" s="77">
        <v>10.180930180560864</v>
      </c>
      <c r="J18" s="77">
        <v>6.3513044409960004</v>
      </c>
      <c r="K18" s="77">
        <v>6.2428738271958206</v>
      </c>
      <c r="L18" s="77">
        <v>7.5621981018383329</v>
      </c>
      <c r="M18" s="77">
        <v>23.793055782682746</v>
      </c>
      <c r="N18" s="77">
        <v>47.786909699070137</v>
      </c>
      <c r="O18" s="77">
        <v>61.0637789178381</v>
      </c>
      <c r="P18" s="67">
        <f>P19/P17</f>
        <v>49.232511496812577</v>
      </c>
      <c r="Q18" s="67" t="e">
        <f>Q19/Q17</f>
        <v>#DIV/0!</v>
      </c>
      <c r="R18" s="67" t="e">
        <f>R19/R17</f>
        <v>#DIV/0!</v>
      </c>
      <c r="S18" s="67" t="e">
        <f>S19/S17</f>
        <v>#DIV/0!</v>
      </c>
      <c r="T18" s="67">
        <f>T19/T17</f>
        <v>49.232511496812577</v>
      </c>
    </row>
    <row r="19" spans="1:20">
      <c r="A19" s="28">
        <v>9</v>
      </c>
      <c r="B19" s="13" t="s">
        <v>83</v>
      </c>
      <c r="C19" s="28" t="str">
        <f>"("&amp;A17&amp;") x ("&amp;A18&amp;")"</f>
        <v>(7) x (8)</v>
      </c>
      <c r="D19" s="78">
        <f t="shared" ref="D19:O19" si="2">D17*D18</f>
        <v>4270786.0859633572</v>
      </c>
      <c r="E19" s="78">
        <f t="shared" si="2"/>
        <v>3724521.5875688698</v>
      </c>
      <c r="F19" s="78">
        <f t="shared" si="2"/>
        <v>3256487.433995306</v>
      </c>
      <c r="G19" s="78">
        <f t="shared" si="2"/>
        <v>0</v>
      </c>
      <c r="H19" s="78">
        <f t="shared" si="2"/>
        <v>0</v>
      </c>
      <c r="I19" s="78">
        <f t="shared" si="2"/>
        <v>0</v>
      </c>
      <c r="J19" s="78">
        <f t="shared" si="2"/>
        <v>0</v>
      </c>
      <c r="K19" s="78">
        <f t="shared" si="2"/>
        <v>0</v>
      </c>
      <c r="L19" s="78">
        <f t="shared" si="2"/>
        <v>0</v>
      </c>
      <c r="M19" s="78">
        <f t="shared" si="2"/>
        <v>0</v>
      </c>
      <c r="N19" s="78">
        <f t="shared" si="2"/>
        <v>0</v>
      </c>
      <c r="O19" s="78">
        <f t="shared" si="2"/>
        <v>0</v>
      </c>
      <c r="P19" s="30">
        <f>SUM(D19:F19)</f>
        <v>11251795.107527534</v>
      </c>
      <c r="Q19" s="30">
        <f>SUM(G19:I19)</f>
        <v>0</v>
      </c>
      <c r="R19" s="30">
        <f>SUM(J19:L19)</f>
        <v>0</v>
      </c>
      <c r="S19" s="30">
        <f>SUM(M19:O19)</f>
        <v>0</v>
      </c>
      <c r="T19" s="30">
        <f>SUM(D19:O19)</f>
        <v>11251795.107527534</v>
      </c>
    </row>
    <row r="20" spans="1:20">
      <c r="A20" s="49">
        <v>10</v>
      </c>
      <c r="B20" s="13"/>
      <c r="C20" s="28"/>
      <c r="D20" s="79"/>
      <c r="E20" s="79"/>
      <c r="F20" s="79"/>
      <c r="G20" s="79"/>
      <c r="H20" s="79"/>
      <c r="I20" s="79"/>
      <c r="J20" s="79"/>
      <c r="K20" s="79"/>
      <c r="L20" s="79"/>
      <c r="M20" s="79"/>
      <c r="N20" s="79"/>
      <c r="O20" s="79"/>
    </row>
    <row r="21" spans="1:20">
      <c r="A21" s="28">
        <v>11</v>
      </c>
      <c r="B21" s="13" t="s">
        <v>30</v>
      </c>
      <c r="C21" s="28" t="str">
        <f>"("&amp;A13&amp;") - ("&amp;A36&amp;")"</f>
        <v>(3) - (26)</v>
      </c>
      <c r="D21" s="78">
        <f>D13-D36</f>
        <v>4515206.7121499991</v>
      </c>
      <c r="E21" s="78">
        <f t="shared" ref="E21:O22" si="3">E13-E36</f>
        <v>3412777.4993100003</v>
      </c>
      <c r="F21" s="78">
        <f t="shared" si="3"/>
        <v>3163589.1207599998</v>
      </c>
      <c r="G21" s="78">
        <f t="shared" si="3"/>
        <v>0</v>
      </c>
      <c r="H21" s="78">
        <f t="shared" si="3"/>
        <v>0</v>
      </c>
      <c r="I21" s="78">
        <f t="shared" si="3"/>
        <v>0</v>
      </c>
      <c r="J21" s="78">
        <f t="shared" si="3"/>
        <v>0</v>
      </c>
      <c r="K21" s="78">
        <f t="shared" si="3"/>
        <v>0</v>
      </c>
      <c r="L21" s="78">
        <f t="shared" si="3"/>
        <v>0</v>
      </c>
      <c r="M21" s="78">
        <f t="shared" si="3"/>
        <v>0</v>
      </c>
      <c r="N21" s="78">
        <f t="shared" si="3"/>
        <v>0</v>
      </c>
      <c r="O21" s="78">
        <f t="shared" si="3"/>
        <v>0</v>
      </c>
    </row>
    <row r="22" spans="1:20">
      <c r="A22" s="49">
        <v>12</v>
      </c>
      <c r="B22" s="13" t="s">
        <v>20</v>
      </c>
      <c r="C22" s="28" t="str">
        <f>"("&amp;A14&amp;") - ("&amp;A37&amp;")"</f>
        <v>(4) - (27)</v>
      </c>
      <c r="D22" s="78">
        <f>D14-D37</f>
        <v>365035.97000000003</v>
      </c>
      <c r="E22" s="78">
        <f t="shared" si="3"/>
        <v>401915.65</v>
      </c>
      <c r="F22" s="78">
        <f t="shared" si="3"/>
        <v>401727.75</v>
      </c>
      <c r="G22" s="78">
        <f t="shared" si="3"/>
        <v>0</v>
      </c>
      <c r="H22" s="78">
        <f t="shared" si="3"/>
        <v>0</v>
      </c>
      <c r="I22" s="78">
        <f t="shared" si="3"/>
        <v>0</v>
      </c>
      <c r="J22" s="78">
        <f t="shared" si="3"/>
        <v>0</v>
      </c>
      <c r="K22" s="78">
        <f t="shared" si="3"/>
        <v>0</v>
      </c>
      <c r="L22" s="78">
        <f t="shared" si="3"/>
        <v>0</v>
      </c>
      <c r="M22" s="78">
        <f t="shared" si="3"/>
        <v>0</v>
      </c>
      <c r="N22" s="78">
        <f t="shared" si="3"/>
        <v>0</v>
      </c>
      <c r="O22" s="78">
        <f t="shared" si="3"/>
        <v>0</v>
      </c>
    </row>
    <row r="23" spans="1:20">
      <c r="A23" s="28">
        <v>13</v>
      </c>
      <c r="B23" s="2" t="s">
        <v>106</v>
      </c>
      <c r="C23" s="28" t="str">
        <f>"("&amp;A12&amp;") - ("&amp;A38&amp;")"</f>
        <v>(2) - (28)</v>
      </c>
      <c r="D23" s="74">
        <f>D12-D38</f>
        <v>8643785</v>
      </c>
      <c r="E23" s="74">
        <f t="shared" ref="E23:O23" si="4">E12-E38</f>
        <v>6297692</v>
      </c>
      <c r="F23" s="74">
        <f t="shared" si="4"/>
        <v>5766947</v>
      </c>
      <c r="G23" s="74">
        <f t="shared" si="4"/>
        <v>0</v>
      </c>
      <c r="H23" s="74">
        <f t="shared" si="4"/>
        <v>0</v>
      </c>
      <c r="I23" s="74">
        <f t="shared" si="4"/>
        <v>0</v>
      </c>
      <c r="J23" s="74">
        <f t="shared" si="4"/>
        <v>0</v>
      </c>
      <c r="K23" s="74">
        <f t="shared" si="4"/>
        <v>0</v>
      </c>
      <c r="L23" s="74">
        <f t="shared" si="4"/>
        <v>0</v>
      </c>
      <c r="M23" s="74">
        <f t="shared" si="4"/>
        <v>0</v>
      </c>
      <c r="N23" s="74">
        <f t="shared" si="4"/>
        <v>0</v>
      </c>
      <c r="O23" s="74">
        <f t="shared" si="4"/>
        <v>0</v>
      </c>
    </row>
    <row r="24" spans="1:20">
      <c r="A24" s="49">
        <v>14</v>
      </c>
      <c r="B24" s="13"/>
      <c r="C24" s="28"/>
      <c r="D24" s="80"/>
      <c r="E24" s="80"/>
      <c r="F24" s="80"/>
      <c r="G24" s="80"/>
      <c r="H24" s="80"/>
      <c r="I24" s="80"/>
      <c r="J24" s="80"/>
      <c r="K24" s="80"/>
      <c r="L24" s="80"/>
      <c r="M24" s="80"/>
      <c r="N24" s="80"/>
      <c r="O24" s="80"/>
    </row>
    <row r="25" spans="1:20">
      <c r="A25" s="28">
        <v>15</v>
      </c>
      <c r="B25" s="13"/>
      <c r="C25" s="28"/>
      <c r="D25" s="78"/>
      <c r="E25" s="78"/>
      <c r="F25" s="78"/>
      <c r="G25" s="78"/>
      <c r="H25" s="78"/>
      <c r="I25" s="78"/>
      <c r="J25" s="78"/>
      <c r="K25" s="78"/>
      <c r="L25" s="78"/>
      <c r="M25" s="78"/>
      <c r="N25" s="78"/>
      <c r="O25" s="78"/>
    </row>
    <row r="26" spans="1:20">
      <c r="A26" s="49">
        <v>16</v>
      </c>
      <c r="B26" s="13" t="s">
        <v>88</v>
      </c>
      <c r="C26" s="28" t="str">
        <f>"("&amp;A21&amp;") - ("&amp;A22&amp;") -("&amp;A25&amp;")"</f>
        <v>(11) - (12) -(15)</v>
      </c>
      <c r="D26" s="78">
        <f>D21-D22-D25</f>
        <v>4150170.7421499989</v>
      </c>
      <c r="E26" s="78">
        <f t="shared" ref="E26:O26" si="5">E21-E22-E25</f>
        <v>3010861.8493100004</v>
      </c>
      <c r="F26" s="78">
        <f t="shared" si="5"/>
        <v>2761861.3707599998</v>
      </c>
      <c r="G26" s="78">
        <f t="shared" si="5"/>
        <v>0</v>
      </c>
      <c r="H26" s="78">
        <f t="shared" si="5"/>
        <v>0</v>
      </c>
      <c r="I26" s="78">
        <f t="shared" si="5"/>
        <v>0</v>
      </c>
      <c r="J26" s="78">
        <f t="shared" si="5"/>
        <v>0</v>
      </c>
      <c r="K26" s="78">
        <f t="shared" si="5"/>
        <v>0</v>
      </c>
      <c r="L26" s="78">
        <f t="shared" si="5"/>
        <v>0</v>
      </c>
      <c r="M26" s="78">
        <f t="shared" si="5"/>
        <v>0</v>
      </c>
      <c r="N26" s="78">
        <f t="shared" si="5"/>
        <v>0</v>
      </c>
      <c r="O26" s="78">
        <f t="shared" si="5"/>
        <v>0</v>
      </c>
      <c r="P26" s="30">
        <f>SUM(D26:F26)</f>
        <v>9922893.9622199982</v>
      </c>
      <c r="Q26" s="30">
        <f>SUM(G26:I26)</f>
        <v>0</v>
      </c>
      <c r="R26" s="30">
        <f>SUM(J26:L26)</f>
        <v>0</v>
      </c>
      <c r="S26" s="30">
        <f>SUM(M26:O26)</f>
        <v>0</v>
      </c>
      <c r="T26" s="30">
        <f>SUM(D26:O26)</f>
        <v>9922893.9622199982</v>
      </c>
    </row>
    <row r="27" spans="1:20">
      <c r="A27" s="28">
        <v>17</v>
      </c>
      <c r="B27" s="3" t="s">
        <v>21</v>
      </c>
      <c r="C27" s="28"/>
      <c r="D27" s="81">
        <f t="shared" ref="D27:O27" si="6">D26/D17</f>
        <v>54.460609437044802</v>
      </c>
      <c r="E27" s="81">
        <f t="shared" si="6"/>
        <v>39.514696956664395</v>
      </c>
      <c r="F27" s="81">
        <f t="shared" si="6"/>
        <v>36.272032501477483</v>
      </c>
      <c r="G27" s="81" t="e">
        <f t="shared" si="6"/>
        <v>#DIV/0!</v>
      </c>
      <c r="H27" s="81" t="e">
        <f t="shared" si="6"/>
        <v>#DIV/0!</v>
      </c>
      <c r="I27" s="81" t="e">
        <f t="shared" si="6"/>
        <v>#DIV/0!</v>
      </c>
      <c r="J27" s="81" t="e">
        <f t="shared" si="6"/>
        <v>#DIV/0!</v>
      </c>
      <c r="K27" s="81" t="e">
        <f t="shared" si="6"/>
        <v>#DIV/0!</v>
      </c>
      <c r="L27" s="81" t="e">
        <f t="shared" si="6"/>
        <v>#DIV/0!</v>
      </c>
      <c r="M27" s="81" t="e">
        <f t="shared" si="6"/>
        <v>#DIV/0!</v>
      </c>
      <c r="N27" s="81" t="e">
        <f t="shared" si="6"/>
        <v>#DIV/0!</v>
      </c>
      <c r="O27" s="81" t="e">
        <f t="shared" si="6"/>
        <v>#DIV/0!</v>
      </c>
      <c r="P27" s="67">
        <f>P26/P17</f>
        <v>43.417871229260001</v>
      </c>
      <c r="Q27" s="67" t="e">
        <f t="shared" ref="Q27:T27" si="7">Q26/Q17</f>
        <v>#DIV/0!</v>
      </c>
      <c r="R27" s="67" t="e">
        <f t="shared" si="7"/>
        <v>#DIV/0!</v>
      </c>
      <c r="S27" s="67" t="e">
        <f t="shared" si="7"/>
        <v>#DIV/0!</v>
      </c>
      <c r="T27" s="67">
        <f t="shared" si="7"/>
        <v>43.417871229260001</v>
      </c>
    </row>
    <row r="28" spans="1:20">
      <c r="A28" s="49">
        <v>18</v>
      </c>
      <c r="B28" s="13" t="s">
        <v>89</v>
      </c>
      <c r="C28" s="28" t="str">
        <f>"("&amp;A$19&amp;") - ("&amp;A26&amp;")"</f>
        <v>(9) - (16)</v>
      </c>
      <c r="D28" s="78">
        <f t="shared" ref="D28:O28" si="8">D19-D26</f>
        <v>120615.34381335834</v>
      </c>
      <c r="E28" s="78">
        <f t="shared" si="8"/>
        <v>713659.73825886939</v>
      </c>
      <c r="F28" s="78">
        <f t="shared" si="8"/>
        <v>494626.06323530618</v>
      </c>
      <c r="G28" s="78">
        <f t="shared" si="8"/>
        <v>0</v>
      </c>
      <c r="H28" s="78">
        <f t="shared" si="8"/>
        <v>0</v>
      </c>
      <c r="I28" s="78">
        <f t="shared" si="8"/>
        <v>0</v>
      </c>
      <c r="J28" s="78">
        <f t="shared" si="8"/>
        <v>0</v>
      </c>
      <c r="K28" s="78">
        <f t="shared" si="8"/>
        <v>0</v>
      </c>
      <c r="L28" s="78">
        <f t="shared" si="8"/>
        <v>0</v>
      </c>
      <c r="M28" s="78">
        <f t="shared" si="8"/>
        <v>0</v>
      </c>
      <c r="N28" s="78">
        <f t="shared" si="8"/>
        <v>0</v>
      </c>
      <c r="O28" s="78">
        <f t="shared" si="8"/>
        <v>0</v>
      </c>
      <c r="P28" s="30">
        <f>SUM(D28:F28)</f>
        <v>1328901.1453075339</v>
      </c>
      <c r="Q28" s="30">
        <f>SUM(G28:I28)</f>
        <v>0</v>
      </c>
      <c r="R28" s="30">
        <f>SUM(J28:L28)</f>
        <v>0</v>
      </c>
      <c r="S28" s="30">
        <f>SUM(M28:O28)</f>
        <v>0</v>
      </c>
      <c r="T28" s="30">
        <f>SUM(D28:O28)</f>
        <v>1328901.1453075339</v>
      </c>
    </row>
    <row r="29" spans="1:20">
      <c r="A29" s="28">
        <v>19</v>
      </c>
      <c r="B29" s="13"/>
      <c r="C29" s="28"/>
      <c r="D29" s="78"/>
      <c r="E29" s="78"/>
      <c r="F29" s="78"/>
      <c r="G29" s="78"/>
      <c r="H29" s="78"/>
      <c r="I29" s="78"/>
      <c r="J29" s="78"/>
      <c r="K29" s="78"/>
      <c r="L29" s="78"/>
      <c r="M29" s="78"/>
      <c r="N29" s="78"/>
      <c r="O29" s="78"/>
    </row>
    <row r="30" spans="1:20">
      <c r="A30" s="49">
        <v>20</v>
      </c>
      <c r="B30" s="13"/>
      <c r="C30" s="28"/>
      <c r="D30" s="78"/>
      <c r="E30" s="78"/>
      <c r="F30" s="78"/>
      <c r="G30" s="78"/>
      <c r="H30" s="78"/>
      <c r="I30" s="78"/>
      <c r="J30" s="78"/>
      <c r="K30" s="78"/>
      <c r="L30" s="78"/>
      <c r="M30" s="78"/>
      <c r="N30" s="78"/>
      <c r="O30" s="78"/>
    </row>
    <row r="31" spans="1:20">
      <c r="A31" s="28">
        <v>21</v>
      </c>
      <c r="B31" s="71" t="s">
        <v>90</v>
      </c>
      <c r="C31" s="28"/>
      <c r="D31" s="78"/>
      <c r="E31" s="78"/>
      <c r="F31" s="78"/>
      <c r="G31" s="78"/>
      <c r="H31" s="78"/>
      <c r="I31" s="78"/>
      <c r="J31" s="78"/>
      <c r="K31" s="78"/>
      <c r="L31" s="78"/>
      <c r="M31" s="78"/>
      <c r="N31" s="78"/>
      <c r="O31" s="78"/>
    </row>
    <row r="32" spans="1:20">
      <c r="A32" s="49">
        <v>22</v>
      </c>
      <c r="B32" s="13" t="s">
        <v>91</v>
      </c>
      <c r="C32" s="28" t="s">
        <v>75</v>
      </c>
      <c r="D32" s="102">
        <v>1816</v>
      </c>
      <c r="E32" s="102">
        <v>1978</v>
      </c>
      <c r="F32" s="102">
        <v>2130</v>
      </c>
      <c r="G32" s="102"/>
      <c r="H32" s="102"/>
      <c r="I32" s="102"/>
      <c r="J32" s="102"/>
      <c r="K32" s="102"/>
      <c r="L32" s="102"/>
      <c r="M32" s="102"/>
      <c r="N32" s="102"/>
      <c r="O32" s="102"/>
      <c r="P32" s="29">
        <f>SUM(D32:F32)</f>
        <v>5924</v>
      </c>
      <c r="Q32" s="29">
        <f>SUM(G32:I32)</f>
        <v>0</v>
      </c>
      <c r="R32" s="29">
        <f>SUM(J32:L32)</f>
        <v>0</v>
      </c>
      <c r="S32" s="29">
        <f>SUM(M32:O32)</f>
        <v>0</v>
      </c>
      <c r="T32" s="29">
        <f>SUM(D32:O32)</f>
        <v>5924</v>
      </c>
    </row>
    <row r="33" spans="1:20">
      <c r="A33" s="28">
        <v>23</v>
      </c>
      <c r="B33" s="68" t="s">
        <v>81</v>
      </c>
      <c r="C33" s="75" t="s">
        <v>82</v>
      </c>
      <c r="D33" s="76">
        <v>52.794376696375359</v>
      </c>
      <c r="E33" s="76">
        <v>46.047031490875781</v>
      </c>
      <c r="F33" s="76">
        <v>40.288652113020547</v>
      </c>
      <c r="G33" s="76">
        <v>23.227059258038341</v>
      </c>
      <c r="H33" s="76">
        <v>15.110342477406626</v>
      </c>
      <c r="I33" s="76">
        <v>9.5907103331691559</v>
      </c>
      <c r="J33" s="76">
        <v>5.9830997807714832</v>
      </c>
      <c r="K33" s="76">
        <v>5.8809552232740883</v>
      </c>
      <c r="L33" s="76">
        <v>7.1237942104006837</v>
      </c>
      <c r="M33" s="76">
        <v>22.413699132162645</v>
      </c>
      <c r="N33" s="76">
        <v>45.016555512400643</v>
      </c>
      <c r="O33" s="76">
        <v>57.523723772104645</v>
      </c>
      <c r="P33" s="67">
        <f>P34/P32</f>
        <v>46.044977273852751</v>
      </c>
      <c r="Q33" s="67" t="e">
        <f>Q34/Q32</f>
        <v>#DIV/0!</v>
      </c>
      <c r="R33" s="67" t="e">
        <f>R34/R32</f>
        <v>#DIV/0!</v>
      </c>
      <c r="S33" s="67" t="e">
        <f>S34/S32</f>
        <v>#DIV/0!</v>
      </c>
      <c r="T33" s="67">
        <f>T34/T32</f>
        <v>46.044977273852751</v>
      </c>
    </row>
    <row r="34" spans="1:20">
      <c r="A34" s="49">
        <v>24</v>
      </c>
      <c r="B34" s="13" t="s">
        <v>83</v>
      </c>
      <c r="C34" s="28" t="str">
        <f>"("&amp;A32&amp;") x ("&amp;A33&amp;")"</f>
        <v>(22) x (23)</v>
      </c>
      <c r="D34" s="78">
        <f t="shared" ref="D34:O34" si="9">D32*D33</f>
        <v>95874.588080617657</v>
      </c>
      <c r="E34" s="78">
        <f t="shared" si="9"/>
        <v>91081.028288952293</v>
      </c>
      <c r="F34" s="78">
        <f t="shared" si="9"/>
        <v>85814.829000733764</v>
      </c>
      <c r="G34" s="78">
        <f t="shared" si="9"/>
        <v>0</v>
      </c>
      <c r="H34" s="78">
        <f t="shared" si="9"/>
        <v>0</v>
      </c>
      <c r="I34" s="78">
        <f t="shared" si="9"/>
        <v>0</v>
      </c>
      <c r="J34" s="78">
        <f t="shared" si="9"/>
        <v>0</v>
      </c>
      <c r="K34" s="78">
        <f t="shared" si="9"/>
        <v>0</v>
      </c>
      <c r="L34" s="78">
        <f t="shared" si="9"/>
        <v>0</v>
      </c>
      <c r="M34" s="78">
        <f t="shared" si="9"/>
        <v>0</v>
      </c>
      <c r="N34" s="78">
        <f t="shared" si="9"/>
        <v>0</v>
      </c>
      <c r="O34" s="78">
        <f t="shared" si="9"/>
        <v>0</v>
      </c>
      <c r="P34" s="30">
        <f>SUM(D34:F34)</f>
        <v>272770.4453703037</v>
      </c>
      <c r="Q34" s="30">
        <f>SUM(G34:I34)</f>
        <v>0</v>
      </c>
      <c r="R34" s="30">
        <f>SUM(J34:L34)</f>
        <v>0</v>
      </c>
      <c r="S34" s="30">
        <f>SUM(M34:O34)</f>
        <v>0</v>
      </c>
      <c r="T34" s="30">
        <f>SUM(D34:O34)</f>
        <v>272770.4453703037</v>
      </c>
    </row>
    <row r="35" spans="1:20">
      <c r="A35" s="28">
        <v>25</v>
      </c>
      <c r="B35" s="13"/>
      <c r="C35" s="28"/>
      <c r="D35" s="79"/>
      <c r="E35" s="79"/>
      <c r="F35" s="79"/>
      <c r="G35" s="79"/>
      <c r="H35" s="79"/>
      <c r="I35" s="79"/>
      <c r="J35" s="79"/>
      <c r="K35" s="79"/>
      <c r="L35" s="79"/>
      <c r="M35" s="79"/>
      <c r="N35" s="79"/>
      <c r="O35" s="79"/>
    </row>
    <row r="36" spans="1:20">
      <c r="A36" s="49">
        <v>26</v>
      </c>
      <c r="B36" s="13" t="s">
        <v>30</v>
      </c>
      <c r="C36" s="28" t="s">
        <v>75</v>
      </c>
      <c r="D36" s="104">
        <v>100769.65</v>
      </c>
      <c r="E36" s="104">
        <v>88489.86</v>
      </c>
      <c r="F36" s="104">
        <v>78902.47</v>
      </c>
      <c r="G36" s="104"/>
      <c r="H36" s="104"/>
      <c r="I36" s="104"/>
      <c r="J36" s="104"/>
      <c r="K36" s="104"/>
      <c r="L36" s="104"/>
      <c r="M36" s="104"/>
      <c r="N36" s="104"/>
      <c r="O36" s="104"/>
    </row>
    <row r="37" spans="1:20">
      <c r="A37" s="28">
        <v>27</v>
      </c>
      <c r="B37" s="13" t="s">
        <v>20</v>
      </c>
      <c r="C37" s="28" t="s">
        <v>75</v>
      </c>
      <c r="D37" s="104">
        <v>8786.7900000000009</v>
      </c>
      <c r="E37" s="104">
        <v>10146.31</v>
      </c>
      <c r="F37" s="104">
        <v>10734.01</v>
      </c>
      <c r="G37" s="104"/>
      <c r="H37" s="104"/>
      <c r="I37" s="104"/>
      <c r="J37" s="104"/>
      <c r="K37" s="104"/>
      <c r="L37" s="104"/>
      <c r="M37" s="104"/>
      <c r="N37" s="104"/>
      <c r="O37" s="104"/>
    </row>
    <row r="38" spans="1:20">
      <c r="A38" s="49">
        <v>28</v>
      </c>
      <c r="B38" s="2" t="s">
        <v>106</v>
      </c>
      <c r="C38" s="28" t="s">
        <v>75</v>
      </c>
      <c r="D38" s="102">
        <v>197266</v>
      </c>
      <c r="E38" s="102">
        <v>164177</v>
      </c>
      <c r="F38" s="102">
        <v>142773</v>
      </c>
      <c r="G38" s="102"/>
      <c r="H38" s="102"/>
      <c r="I38" s="102"/>
      <c r="J38" s="102"/>
      <c r="K38" s="102"/>
      <c r="L38" s="102"/>
      <c r="M38" s="102"/>
      <c r="N38" s="102"/>
      <c r="O38" s="102"/>
    </row>
    <row r="39" spans="1:20">
      <c r="A39" s="28">
        <v>29</v>
      </c>
      <c r="B39" s="13"/>
      <c r="C39" s="28"/>
      <c r="D39" s="80"/>
      <c r="E39" s="80"/>
      <c r="F39" s="80"/>
      <c r="G39" s="80"/>
      <c r="H39" s="80"/>
      <c r="I39" s="80"/>
      <c r="J39" s="80"/>
      <c r="K39" s="80"/>
      <c r="L39" s="80"/>
      <c r="M39" s="80"/>
      <c r="N39" s="80"/>
      <c r="O39" s="80"/>
    </row>
    <row r="40" spans="1:20">
      <c r="A40" s="49">
        <v>30</v>
      </c>
      <c r="B40" s="13"/>
      <c r="C40" s="28"/>
      <c r="D40" s="78"/>
      <c r="E40" s="78"/>
      <c r="F40" s="78"/>
      <c r="G40" s="78"/>
      <c r="H40" s="78"/>
      <c r="I40" s="78"/>
      <c r="J40" s="78"/>
      <c r="K40" s="78"/>
      <c r="L40" s="78"/>
      <c r="M40" s="78"/>
      <c r="N40" s="78"/>
      <c r="O40" s="78"/>
    </row>
    <row r="41" spans="1:20">
      <c r="A41" s="28">
        <v>31</v>
      </c>
      <c r="B41" s="82" t="s">
        <v>107</v>
      </c>
      <c r="C41" s="28" t="s">
        <v>93</v>
      </c>
      <c r="D41" s="80">
        <v>2.7688999999999998E-2</v>
      </c>
      <c r="E41" s="80">
        <f>D41</f>
        <v>2.7688999999999998E-2</v>
      </c>
      <c r="F41" s="80">
        <f t="shared" ref="F41:O41" si="10">E41</f>
        <v>2.7688999999999998E-2</v>
      </c>
      <c r="G41" s="80">
        <f t="shared" si="10"/>
        <v>2.7688999999999998E-2</v>
      </c>
      <c r="H41" s="80">
        <f t="shared" si="10"/>
        <v>2.7688999999999998E-2</v>
      </c>
      <c r="I41" s="80">
        <f t="shared" si="10"/>
        <v>2.7688999999999998E-2</v>
      </c>
      <c r="J41" s="80">
        <f t="shared" si="10"/>
        <v>2.7688999999999998E-2</v>
      </c>
      <c r="K41" s="80">
        <f t="shared" si="10"/>
        <v>2.7688999999999998E-2</v>
      </c>
      <c r="L41" s="80">
        <f t="shared" si="10"/>
        <v>2.7688999999999998E-2</v>
      </c>
      <c r="M41" s="80">
        <f t="shared" si="10"/>
        <v>2.7688999999999998E-2</v>
      </c>
      <c r="N41" s="80">
        <f t="shared" si="10"/>
        <v>2.7688999999999998E-2</v>
      </c>
      <c r="O41" s="80">
        <f t="shared" si="10"/>
        <v>2.7688999999999998E-2</v>
      </c>
    </row>
    <row r="42" spans="1:20">
      <c r="A42" s="49">
        <v>32</v>
      </c>
      <c r="B42" s="82" t="s">
        <v>108</v>
      </c>
      <c r="C42" s="28" t="str">
        <f>"("&amp;A40&amp;") x ("&amp;A41&amp;")"</f>
        <v>(30) x (31)</v>
      </c>
      <c r="D42" s="78">
        <f>D38*D41</f>
        <v>5462.0982739999999</v>
      </c>
      <c r="E42" s="78">
        <f t="shared" ref="E42:O42" si="11">E38*E41</f>
        <v>4545.8969529999995</v>
      </c>
      <c r="F42" s="78">
        <f t="shared" si="11"/>
        <v>3953.2415969999997</v>
      </c>
      <c r="G42" s="78">
        <f t="shared" si="11"/>
        <v>0</v>
      </c>
      <c r="H42" s="78">
        <f t="shared" si="11"/>
        <v>0</v>
      </c>
      <c r="I42" s="78">
        <f t="shared" si="11"/>
        <v>0</v>
      </c>
      <c r="J42" s="78">
        <f t="shared" si="11"/>
        <v>0</v>
      </c>
      <c r="K42" s="78">
        <f t="shared" si="11"/>
        <v>0</v>
      </c>
      <c r="L42" s="78">
        <f t="shared" si="11"/>
        <v>0</v>
      </c>
      <c r="M42" s="78">
        <f t="shared" si="11"/>
        <v>0</v>
      </c>
      <c r="N42" s="78">
        <f t="shared" si="11"/>
        <v>0</v>
      </c>
      <c r="O42" s="78">
        <f t="shared" si="11"/>
        <v>0</v>
      </c>
    </row>
    <row r="43" spans="1:20">
      <c r="A43" s="28">
        <v>33</v>
      </c>
      <c r="B43" s="13" t="s">
        <v>88</v>
      </c>
      <c r="C43" s="28" t="str">
        <f>"("&amp;A36&amp;") - ("&amp;A37&amp;") - ("&amp;A40&amp;") - ("&amp;A42&amp;")"</f>
        <v>(26) - (27) - (30) - (32)</v>
      </c>
      <c r="D43" s="78">
        <f>D36-D37-D40-D42</f>
        <v>86520.761725999982</v>
      </c>
      <c r="E43" s="78">
        <f t="shared" ref="E43:O43" si="12">E36-E37-E40-E42</f>
        <v>73797.653047</v>
      </c>
      <c r="F43" s="78">
        <f t="shared" si="12"/>
        <v>64215.218403000006</v>
      </c>
      <c r="G43" s="78">
        <f t="shared" si="12"/>
        <v>0</v>
      </c>
      <c r="H43" s="78">
        <f t="shared" si="12"/>
        <v>0</v>
      </c>
      <c r="I43" s="78">
        <f t="shared" si="12"/>
        <v>0</v>
      </c>
      <c r="J43" s="78">
        <f t="shared" si="12"/>
        <v>0</v>
      </c>
      <c r="K43" s="78">
        <f t="shared" si="12"/>
        <v>0</v>
      </c>
      <c r="L43" s="78">
        <f t="shared" si="12"/>
        <v>0</v>
      </c>
      <c r="M43" s="78">
        <f t="shared" si="12"/>
        <v>0</v>
      </c>
      <c r="N43" s="78">
        <f t="shared" si="12"/>
        <v>0</v>
      </c>
      <c r="O43" s="78">
        <f t="shared" si="12"/>
        <v>0</v>
      </c>
      <c r="P43" s="30">
        <f>SUM(D43:F43)</f>
        <v>224533.633176</v>
      </c>
      <c r="Q43" s="30">
        <f>SUM(G43:I43)</f>
        <v>0</v>
      </c>
      <c r="R43" s="30">
        <f>SUM(J43:L43)</f>
        <v>0</v>
      </c>
      <c r="S43" s="30">
        <f>SUM(M43:O43)</f>
        <v>0</v>
      </c>
      <c r="T43" s="30">
        <f>SUM(D43:O43)</f>
        <v>224533.633176</v>
      </c>
    </row>
    <row r="44" spans="1:20">
      <c r="A44" s="49">
        <v>34</v>
      </c>
      <c r="B44" s="3" t="s">
        <v>21</v>
      </c>
      <c r="C44" s="28"/>
      <c r="D44" s="81">
        <f t="shared" ref="D44:O44" si="13">D43/D32</f>
        <v>47.643591258810567</v>
      </c>
      <c r="E44" s="81">
        <f t="shared" si="13"/>
        <v>37.309228031850353</v>
      </c>
      <c r="F44" s="81">
        <f t="shared" si="13"/>
        <v>30.147989860563385</v>
      </c>
      <c r="G44" s="81" t="e">
        <f t="shared" si="13"/>
        <v>#DIV/0!</v>
      </c>
      <c r="H44" s="81" t="e">
        <f t="shared" si="13"/>
        <v>#DIV/0!</v>
      </c>
      <c r="I44" s="81" t="e">
        <f t="shared" si="13"/>
        <v>#DIV/0!</v>
      </c>
      <c r="J44" s="81" t="e">
        <f t="shared" si="13"/>
        <v>#DIV/0!</v>
      </c>
      <c r="K44" s="81" t="e">
        <f t="shared" si="13"/>
        <v>#DIV/0!</v>
      </c>
      <c r="L44" s="81" t="e">
        <f t="shared" si="13"/>
        <v>#DIV/0!</v>
      </c>
      <c r="M44" s="81" t="e">
        <f t="shared" si="13"/>
        <v>#DIV/0!</v>
      </c>
      <c r="N44" s="81" t="e">
        <f t="shared" si="13"/>
        <v>#DIV/0!</v>
      </c>
      <c r="O44" s="81" t="e">
        <f t="shared" si="13"/>
        <v>#DIV/0!</v>
      </c>
      <c r="P44" s="67">
        <f>P43/P32</f>
        <v>37.902368868332211</v>
      </c>
      <c r="Q44" s="67" t="e">
        <f t="shared" ref="Q44:T44" si="14">Q43/Q32</f>
        <v>#DIV/0!</v>
      </c>
      <c r="R44" s="67" t="e">
        <f t="shared" si="14"/>
        <v>#DIV/0!</v>
      </c>
      <c r="S44" s="67" t="e">
        <f t="shared" si="14"/>
        <v>#DIV/0!</v>
      </c>
      <c r="T44" s="67">
        <f t="shared" si="14"/>
        <v>37.902368868332211</v>
      </c>
    </row>
    <row r="45" spans="1:20">
      <c r="A45" s="28">
        <v>35</v>
      </c>
      <c r="B45" s="13" t="s">
        <v>95</v>
      </c>
      <c r="C45" s="28" t="str">
        <f>"("&amp;A$19&amp;") - ("&amp;A43&amp;")"</f>
        <v>(9) - (33)</v>
      </c>
      <c r="D45" s="78">
        <f t="shared" ref="D45:O45" si="15">D34-D43</f>
        <v>9353.826354617675</v>
      </c>
      <c r="E45" s="78">
        <f t="shared" si="15"/>
        <v>17283.375241952293</v>
      </c>
      <c r="F45" s="78">
        <f t="shared" si="15"/>
        <v>21599.610597733757</v>
      </c>
      <c r="G45" s="78">
        <f t="shared" si="15"/>
        <v>0</v>
      </c>
      <c r="H45" s="78">
        <f t="shared" si="15"/>
        <v>0</v>
      </c>
      <c r="I45" s="78">
        <f t="shared" si="15"/>
        <v>0</v>
      </c>
      <c r="J45" s="78">
        <f t="shared" si="15"/>
        <v>0</v>
      </c>
      <c r="K45" s="78">
        <f t="shared" si="15"/>
        <v>0</v>
      </c>
      <c r="L45" s="78">
        <f t="shared" si="15"/>
        <v>0</v>
      </c>
      <c r="M45" s="78">
        <f t="shared" si="15"/>
        <v>0</v>
      </c>
      <c r="N45" s="78">
        <f t="shared" si="15"/>
        <v>0</v>
      </c>
      <c r="O45" s="78">
        <f t="shared" si="15"/>
        <v>0</v>
      </c>
      <c r="P45" s="30">
        <f>SUM(D45:F45)</f>
        <v>48236.812194303726</v>
      </c>
      <c r="Q45" s="30">
        <f>SUM(G45:I45)</f>
        <v>0</v>
      </c>
      <c r="R45" s="30">
        <f>SUM(J45:L45)</f>
        <v>0</v>
      </c>
      <c r="S45" s="30">
        <f>SUM(M45:O45)</f>
        <v>0</v>
      </c>
      <c r="T45" s="30">
        <f>SUM(D45:O45)</f>
        <v>48236.812194303726</v>
      </c>
    </row>
    <row r="46" spans="1:20">
      <c r="A46" s="49">
        <v>36</v>
      </c>
      <c r="B46" s="13"/>
      <c r="C46" s="28"/>
      <c r="D46" s="78"/>
      <c r="E46" s="78"/>
      <c r="F46" s="78"/>
      <c r="G46" s="78"/>
      <c r="H46" s="78"/>
      <c r="I46" s="78"/>
      <c r="J46" s="78"/>
      <c r="K46" s="78"/>
      <c r="L46" s="78"/>
      <c r="M46" s="78"/>
      <c r="N46" s="78"/>
      <c r="O46" s="78"/>
    </row>
    <row r="47" spans="1:20">
      <c r="A47" s="83">
        <v>37</v>
      </c>
      <c r="B47" s="84" t="s">
        <v>96</v>
      </c>
      <c r="C47" s="83" t="str">
        <f>"("&amp;A$28&amp;") + ("&amp;A45&amp;")"</f>
        <v>(18) + (35)</v>
      </c>
      <c r="D47" s="85">
        <f>D28+D45</f>
        <v>129969.17016797602</v>
      </c>
      <c r="E47" s="85">
        <f>E28+E45</f>
        <v>730943.11350082164</v>
      </c>
      <c r="F47" s="85">
        <f t="shared" ref="F47:O47" si="16">F28+F45</f>
        <v>516225.67383303994</v>
      </c>
      <c r="G47" s="85">
        <f t="shared" si="16"/>
        <v>0</v>
      </c>
      <c r="H47" s="85">
        <f t="shared" si="16"/>
        <v>0</v>
      </c>
      <c r="I47" s="85">
        <f t="shared" si="16"/>
        <v>0</v>
      </c>
      <c r="J47" s="85">
        <f t="shared" si="16"/>
        <v>0</v>
      </c>
      <c r="K47" s="85">
        <f t="shared" si="16"/>
        <v>0</v>
      </c>
      <c r="L47" s="85">
        <f t="shared" si="16"/>
        <v>0</v>
      </c>
      <c r="M47" s="85">
        <f t="shared" si="16"/>
        <v>0</v>
      </c>
      <c r="N47" s="85">
        <f t="shared" si="16"/>
        <v>0</v>
      </c>
      <c r="O47" s="85">
        <f t="shared" si="16"/>
        <v>0</v>
      </c>
      <c r="P47" s="85">
        <f>SUM(D47:F47)</f>
        <v>1377137.9575018375</v>
      </c>
      <c r="Q47" s="85">
        <f>SUM(G47:I47)</f>
        <v>0</v>
      </c>
      <c r="R47" s="85">
        <f>SUM(J47:L47)</f>
        <v>0</v>
      </c>
      <c r="S47" s="85">
        <f>SUM(M47:O47)</f>
        <v>0</v>
      </c>
      <c r="T47" s="85">
        <f>SUM(D47:O47)</f>
        <v>1377137.9575018375</v>
      </c>
    </row>
    <row r="48" spans="1:20">
      <c r="A48" s="86">
        <v>38</v>
      </c>
      <c r="B48" s="84" t="s">
        <v>22</v>
      </c>
      <c r="C48" s="87" t="s">
        <v>23</v>
      </c>
      <c r="D48" s="85">
        <f>D28*-0.005778</f>
        <v>-696.91545655358448</v>
      </c>
      <c r="E48" s="85">
        <f t="shared" ref="E48:O48" si="17">E28*-0.005778</f>
        <v>-4123.525967659747</v>
      </c>
      <c r="F48" s="85">
        <f t="shared" si="17"/>
        <v>-2857.9493933735994</v>
      </c>
      <c r="G48" s="85">
        <f t="shared" si="17"/>
        <v>0</v>
      </c>
      <c r="H48" s="85">
        <f t="shared" si="17"/>
        <v>0</v>
      </c>
      <c r="I48" s="85">
        <f t="shared" si="17"/>
        <v>0</v>
      </c>
      <c r="J48" s="85">
        <f t="shared" si="17"/>
        <v>0</v>
      </c>
      <c r="K48" s="85">
        <f t="shared" si="17"/>
        <v>0</v>
      </c>
      <c r="L48" s="85">
        <f t="shared" si="17"/>
        <v>0</v>
      </c>
      <c r="M48" s="85">
        <f t="shared" si="17"/>
        <v>0</v>
      </c>
      <c r="N48" s="85">
        <f t="shared" si="17"/>
        <v>0</v>
      </c>
      <c r="O48" s="85">
        <f t="shared" si="17"/>
        <v>0</v>
      </c>
      <c r="P48" s="85">
        <f>SUM(D48:F48)</f>
        <v>-7678.390817586931</v>
      </c>
      <c r="Q48" s="85">
        <f>SUM(G48:I48)</f>
        <v>0</v>
      </c>
      <c r="R48" s="85">
        <f>SUM(J48:L48)</f>
        <v>0</v>
      </c>
      <c r="S48" s="85">
        <f>SUM(M48:O48)</f>
        <v>0</v>
      </c>
      <c r="T48" s="85">
        <f>SUM(D48:O48)</f>
        <v>-7678.390817586931</v>
      </c>
    </row>
    <row r="49" spans="1:20">
      <c r="A49" s="28">
        <v>39</v>
      </c>
      <c r="B49" s="13"/>
      <c r="C49" s="3" t="s">
        <v>97</v>
      </c>
      <c r="D49" s="88">
        <v>0.01</v>
      </c>
      <c r="E49" s="88">
        <f t="shared" ref="E49:O49" si="18">D49</f>
        <v>0.01</v>
      </c>
      <c r="F49" s="88">
        <f t="shared" si="18"/>
        <v>0.01</v>
      </c>
      <c r="G49" s="88">
        <v>0</v>
      </c>
      <c r="H49" s="88">
        <f t="shared" si="18"/>
        <v>0</v>
      </c>
      <c r="I49" s="88">
        <f t="shared" si="18"/>
        <v>0</v>
      </c>
      <c r="J49" s="88">
        <f t="shared" si="18"/>
        <v>0</v>
      </c>
      <c r="K49" s="88">
        <f t="shared" si="18"/>
        <v>0</v>
      </c>
      <c r="L49" s="88">
        <f t="shared" si="18"/>
        <v>0</v>
      </c>
      <c r="M49" s="88">
        <f t="shared" si="18"/>
        <v>0</v>
      </c>
      <c r="N49" s="88">
        <f t="shared" si="18"/>
        <v>0</v>
      </c>
      <c r="O49" s="88">
        <f t="shared" si="18"/>
        <v>0</v>
      </c>
    </row>
    <row r="50" spans="1:20">
      <c r="A50" s="86">
        <v>40</v>
      </c>
      <c r="B50" s="84" t="s">
        <v>24</v>
      </c>
      <c r="C50" s="84" t="s">
        <v>28</v>
      </c>
      <c r="D50" s="89">
        <f>(D47+D48)/2*D49/12</f>
        <v>53.863439463092682</v>
      </c>
      <c r="E50" s="89">
        <f>(D53+(E47+E48)/2)*E49/12</f>
        <v>410.61325993122205</v>
      </c>
      <c r="F50" s="89">
        <f t="shared" ref="F50:O50" si="19">(E53+(F47+F48)/2)*F49/12</f>
        <v>927.70015096984309</v>
      </c>
      <c r="G50" s="89">
        <f t="shared" si="19"/>
        <v>0</v>
      </c>
      <c r="H50" s="89">
        <f t="shared" si="19"/>
        <v>0</v>
      </c>
      <c r="I50" s="89">
        <f t="shared" si="19"/>
        <v>0</v>
      </c>
      <c r="J50" s="89">
        <f t="shared" si="19"/>
        <v>0</v>
      </c>
      <c r="K50" s="89">
        <f t="shared" si="19"/>
        <v>0</v>
      </c>
      <c r="L50" s="89">
        <f t="shared" si="19"/>
        <v>0</v>
      </c>
      <c r="M50" s="89">
        <f t="shared" si="19"/>
        <v>0</v>
      </c>
      <c r="N50" s="89">
        <f t="shared" si="19"/>
        <v>0</v>
      </c>
      <c r="O50" s="89">
        <f t="shared" si="19"/>
        <v>0</v>
      </c>
      <c r="P50" s="89">
        <f>SUM(D50:F50)</f>
        <v>1392.1768503641579</v>
      </c>
      <c r="Q50" s="89">
        <f>SUM(G50:I50)</f>
        <v>0</v>
      </c>
      <c r="R50" s="89">
        <f>SUM(J50:L50)</f>
        <v>0</v>
      </c>
      <c r="S50" s="89">
        <f>SUM(M50:O50)</f>
        <v>0</v>
      </c>
      <c r="T50" s="89">
        <f>SUM(D50:O50)</f>
        <v>1392.1768503641579</v>
      </c>
    </row>
    <row r="51" spans="1:20">
      <c r="A51" s="90">
        <v>41</v>
      </c>
      <c r="B51" s="91" t="s">
        <v>25</v>
      </c>
      <c r="C51" s="92"/>
      <c r="D51" s="93">
        <f>D47+D48+D50</f>
        <v>129326.11815088552</v>
      </c>
      <c r="E51" s="93">
        <f>E47+E48+E50</f>
        <v>727230.20079309307</v>
      </c>
      <c r="F51" s="93">
        <f t="shared" ref="F51:T51" si="20">F47+F48+F50</f>
        <v>514295.42459063616</v>
      </c>
      <c r="G51" s="93">
        <f t="shared" si="20"/>
        <v>0</v>
      </c>
      <c r="H51" s="93">
        <f t="shared" si="20"/>
        <v>0</v>
      </c>
      <c r="I51" s="93">
        <f t="shared" si="20"/>
        <v>0</v>
      </c>
      <c r="J51" s="93">
        <f t="shared" si="20"/>
        <v>0</v>
      </c>
      <c r="K51" s="93">
        <f t="shared" si="20"/>
        <v>0</v>
      </c>
      <c r="L51" s="93">
        <f t="shared" si="20"/>
        <v>0</v>
      </c>
      <c r="M51" s="93">
        <f t="shared" si="20"/>
        <v>0</v>
      </c>
      <c r="N51" s="93">
        <f t="shared" si="20"/>
        <v>0</v>
      </c>
      <c r="O51" s="93">
        <f t="shared" si="20"/>
        <v>0</v>
      </c>
      <c r="P51" s="93">
        <f t="shared" si="20"/>
        <v>1370851.7435346146</v>
      </c>
      <c r="Q51" s="93">
        <f t="shared" si="20"/>
        <v>0</v>
      </c>
      <c r="R51" s="93">
        <f t="shared" si="20"/>
        <v>0</v>
      </c>
      <c r="S51" s="93">
        <f t="shared" si="20"/>
        <v>0</v>
      </c>
      <c r="T51" s="93">
        <f t="shared" si="20"/>
        <v>1370851.7435346146</v>
      </c>
    </row>
    <row r="52" spans="1:20">
      <c r="A52" s="49">
        <v>42</v>
      </c>
      <c r="B52" s="13"/>
      <c r="C52" s="28"/>
      <c r="D52" s="79"/>
      <c r="E52" s="79"/>
      <c r="F52" s="79"/>
      <c r="G52" s="79"/>
      <c r="H52" s="79"/>
      <c r="I52" s="79"/>
      <c r="J52" s="79"/>
      <c r="K52" s="79"/>
      <c r="L52" s="79"/>
      <c r="M52" s="79"/>
      <c r="N52" s="79"/>
      <c r="O52" s="79"/>
    </row>
    <row r="53" spans="1:20">
      <c r="A53" s="28">
        <v>43</v>
      </c>
      <c r="B53" s="13" t="s">
        <v>98</v>
      </c>
      <c r="C53" s="28" t="str">
        <f>"Σ(("&amp;A$47&amp;"), ("&amp;A48&amp;"), ("&amp;A50&amp;"))"</f>
        <v>Σ((37), (38), (40))</v>
      </c>
      <c r="D53" s="78">
        <f>D47+D48+D50</f>
        <v>129326.11815088552</v>
      </c>
      <c r="E53" s="78">
        <f>D53+E47+E48+E50</f>
        <v>856556.31894397864</v>
      </c>
      <c r="F53" s="78">
        <f t="shared" ref="F53:O53" si="21">E53+F47+F48+F50</f>
        <v>1370851.7435346148</v>
      </c>
      <c r="G53" s="78">
        <f t="shared" si="21"/>
        <v>1370851.7435346148</v>
      </c>
      <c r="H53" s="78">
        <f t="shared" si="21"/>
        <v>1370851.7435346148</v>
      </c>
      <c r="I53" s="78">
        <f t="shared" si="21"/>
        <v>1370851.7435346148</v>
      </c>
      <c r="J53" s="78">
        <f t="shared" si="21"/>
        <v>1370851.7435346148</v>
      </c>
      <c r="K53" s="78">
        <f t="shared" si="21"/>
        <v>1370851.7435346148</v>
      </c>
      <c r="L53" s="78">
        <f t="shared" si="21"/>
        <v>1370851.7435346148</v>
      </c>
      <c r="M53" s="78">
        <f t="shared" si="21"/>
        <v>1370851.7435346148</v>
      </c>
      <c r="N53" s="78">
        <f t="shared" si="21"/>
        <v>1370851.7435346148</v>
      </c>
      <c r="O53" s="78">
        <f t="shared" si="21"/>
        <v>1370851.7435346148</v>
      </c>
    </row>
    <row r="54" spans="1:20">
      <c r="A54" s="28"/>
      <c r="B54" s="13"/>
      <c r="C54" s="28"/>
      <c r="D54" s="78"/>
      <c r="E54" s="78"/>
      <c r="F54" s="78"/>
      <c r="G54" s="78"/>
      <c r="H54" s="78"/>
      <c r="I54" s="78"/>
      <c r="J54" s="78"/>
      <c r="K54" s="78"/>
      <c r="L54" s="78"/>
      <c r="M54" s="78"/>
      <c r="N54" s="78"/>
      <c r="O54" s="94"/>
    </row>
    <row r="55" spans="1:20">
      <c r="A55" s="28"/>
      <c r="B55" s="1" t="s">
        <v>26</v>
      </c>
      <c r="C55" s="28"/>
      <c r="D55" s="78"/>
      <c r="E55" s="78"/>
      <c r="F55" s="78"/>
      <c r="G55" s="78"/>
      <c r="H55" s="78"/>
      <c r="I55" s="78"/>
      <c r="J55" s="78"/>
      <c r="K55" s="78"/>
      <c r="L55" s="78"/>
      <c r="M55" s="78"/>
      <c r="N55" s="78"/>
      <c r="O55" s="78"/>
    </row>
    <row r="56" spans="1:20">
      <c r="A56" s="28"/>
      <c r="B56" s="1"/>
      <c r="C56" s="28"/>
      <c r="D56" s="78"/>
      <c r="E56" s="78"/>
      <c r="F56" s="78"/>
      <c r="G56" s="78"/>
      <c r="H56" s="78"/>
      <c r="I56" s="78"/>
      <c r="J56" s="78"/>
      <c r="K56" s="78"/>
      <c r="L56" s="78"/>
      <c r="M56" s="78"/>
      <c r="N56" s="78"/>
      <c r="O56" s="78"/>
    </row>
    <row r="57" spans="1:20">
      <c r="A57" s="28">
        <v>1</v>
      </c>
      <c r="B57" s="13" t="s">
        <v>74</v>
      </c>
      <c r="C57" s="28" t="s">
        <v>75</v>
      </c>
      <c r="D57" s="106">
        <v>1411</v>
      </c>
      <c r="E57" s="106">
        <v>1416</v>
      </c>
      <c r="F57" s="106">
        <v>1430</v>
      </c>
      <c r="G57" s="106"/>
      <c r="H57" s="106"/>
      <c r="I57" s="106"/>
      <c r="J57" s="106"/>
      <c r="K57" s="106"/>
      <c r="L57" s="106"/>
      <c r="M57" s="106"/>
      <c r="N57" s="106"/>
      <c r="O57" s="106"/>
    </row>
    <row r="58" spans="1:20">
      <c r="A58" s="28">
        <v>2</v>
      </c>
      <c r="B58" s="13" t="s">
        <v>105</v>
      </c>
      <c r="C58" s="28" t="s">
        <v>75</v>
      </c>
      <c r="D58" s="106">
        <v>2846717</v>
      </c>
      <c r="E58" s="106">
        <v>2341568</v>
      </c>
      <c r="F58" s="106">
        <v>2149728</v>
      </c>
      <c r="G58" s="106"/>
      <c r="H58" s="106"/>
      <c r="I58" s="106"/>
      <c r="J58" s="106"/>
      <c r="K58" s="106"/>
      <c r="L58" s="106"/>
      <c r="M58" s="106"/>
      <c r="N58" s="106"/>
      <c r="O58" s="106"/>
    </row>
    <row r="59" spans="1:20">
      <c r="A59" s="28">
        <v>3</v>
      </c>
      <c r="B59" s="13" t="s">
        <v>77</v>
      </c>
      <c r="C59" s="28" t="s">
        <v>75</v>
      </c>
      <c r="D59" s="107">
        <v>823502.34704999998</v>
      </c>
      <c r="E59" s="107">
        <v>706758.38861999998</v>
      </c>
      <c r="F59" s="107">
        <v>646144.38504000008</v>
      </c>
      <c r="G59" s="107"/>
      <c r="H59" s="107"/>
      <c r="I59" s="107"/>
      <c r="J59" s="107"/>
      <c r="K59" s="107"/>
      <c r="L59" s="107"/>
      <c r="M59" s="107"/>
      <c r="N59" s="107"/>
      <c r="O59" s="107"/>
    </row>
    <row r="60" spans="1:20">
      <c r="A60" s="28">
        <v>4</v>
      </c>
      <c r="B60" s="13" t="s">
        <v>78</v>
      </c>
      <c r="C60" s="28" t="s">
        <v>75</v>
      </c>
      <c r="D60" s="107">
        <v>138162.63</v>
      </c>
      <c r="E60" s="107">
        <v>142689.02000000002</v>
      </c>
      <c r="F60" s="107">
        <v>144144.59999999998</v>
      </c>
      <c r="G60" s="107"/>
      <c r="H60" s="107"/>
      <c r="I60" s="107"/>
      <c r="J60" s="107"/>
      <c r="K60" s="107"/>
      <c r="L60" s="107"/>
      <c r="M60" s="107"/>
      <c r="N60" s="107"/>
      <c r="O60" s="107"/>
    </row>
    <row r="61" spans="1:20">
      <c r="A61" s="28">
        <v>5</v>
      </c>
      <c r="B61" s="13"/>
      <c r="C61" s="28"/>
      <c r="D61" s="78"/>
      <c r="E61" s="78"/>
      <c r="F61" s="78"/>
      <c r="G61" s="78"/>
      <c r="H61" s="78"/>
      <c r="I61" s="78"/>
      <c r="J61" s="78"/>
      <c r="K61" s="78"/>
      <c r="L61" s="78"/>
      <c r="M61" s="78"/>
      <c r="N61" s="78"/>
      <c r="O61" s="78"/>
    </row>
    <row r="62" spans="1:20">
      <c r="A62" s="28">
        <v>6</v>
      </c>
      <c r="B62" s="71" t="str">
        <f t="shared" ref="B62" si="22">B16</f>
        <v>Existing Customers</v>
      </c>
      <c r="C62" s="28"/>
      <c r="D62" s="78"/>
      <c r="E62" s="78"/>
      <c r="F62" s="78"/>
      <c r="G62" s="78"/>
      <c r="H62" s="78"/>
      <c r="I62" s="78"/>
      <c r="J62" s="78"/>
      <c r="K62" s="78"/>
      <c r="L62" s="78"/>
      <c r="M62" s="78"/>
      <c r="N62" s="78"/>
      <c r="O62" s="78"/>
    </row>
    <row r="63" spans="1:20">
      <c r="A63" s="28">
        <v>7</v>
      </c>
      <c r="B63" s="13" t="str">
        <f>B17</f>
        <v>Actual Customers on System During Test Year</v>
      </c>
      <c r="C63" s="28" t="str">
        <f>C17</f>
        <v>(1) - (22)</v>
      </c>
      <c r="D63" s="74">
        <f>D57-D78</f>
        <v>1393</v>
      </c>
      <c r="E63" s="74">
        <f t="shared" ref="E63:O63" si="23">E57-E78</f>
        <v>1399</v>
      </c>
      <c r="F63" s="74">
        <f t="shared" si="23"/>
        <v>1412</v>
      </c>
      <c r="G63" s="74">
        <f t="shared" si="23"/>
        <v>0</v>
      </c>
      <c r="H63" s="74">
        <f t="shared" si="23"/>
        <v>0</v>
      </c>
      <c r="I63" s="74">
        <f t="shared" si="23"/>
        <v>0</v>
      </c>
      <c r="J63" s="74">
        <f t="shared" si="23"/>
        <v>0</v>
      </c>
      <c r="K63" s="74">
        <f t="shared" si="23"/>
        <v>0</v>
      </c>
      <c r="L63" s="74">
        <f t="shared" si="23"/>
        <v>0</v>
      </c>
      <c r="M63" s="74">
        <f t="shared" si="23"/>
        <v>0</v>
      </c>
      <c r="N63" s="74">
        <f t="shared" si="23"/>
        <v>0</v>
      </c>
      <c r="O63" s="74">
        <f t="shared" si="23"/>
        <v>0</v>
      </c>
      <c r="P63" s="29">
        <f>SUM(D63:F63)</f>
        <v>4204</v>
      </c>
      <c r="Q63" s="29">
        <f>SUM(G63:I63)</f>
        <v>0</v>
      </c>
      <c r="R63" s="29">
        <f>SUM(J63:L63)</f>
        <v>0</v>
      </c>
      <c r="S63" s="29">
        <f>SUM(M63:O63)</f>
        <v>0</v>
      </c>
      <c r="T63" s="29">
        <f>SUM(D63:O63)</f>
        <v>4204</v>
      </c>
    </row>
    <row r="64" spans="1:20">
      <c r="A64" s="75">
        <v>8</v>
      </c>
      <c r="B64" s="13" t="str">
        <f t="shared" ref="B64:C79" si="24">B18</f>
        <v>Monthly Fixed Cost Adj. Revenue per Customer</v>
      </c>
      <c r="C64" s="28" t="str">
        <f t="shared" si="24"/>
        <v>Page 3</v>
      </c>
      <c r="D64" s="76">
        <v>502.94424135382826</v>
      </c>
      <c r="E64" s="76">
        <v>448.14092029270279</v>
      </c>
      <c r="F64" s="76">
        <v>403.09698078062956</v>
      </c>
      <c r="G64" s="76">
        <v>278.74717583648373</v>
      </c>
      <c r="H64" s="76">
        <v>200.4996725714629</v>
      </c>
      <c r="I64" s="76">
        <v>210.35237663624716</v>
      </c>
      <c r="J64" s="76">
        <v>148.83750255122652</v>
      </c>
      <c r="K64" s="76">
        <v>175.32266092772522</v>
      </c>
      <c r="L64" s="76">
        <v>153.93451079245727</v>
      </c>
      <c r="M64" s="76">
        <v>332.25964419748379</v>
      </c>
      <c r="N64" s="76">
        <v>411.65214294398595</v>
      </c>
      <c r="O64" s="76">
        <v>478.17217111576696</v>
      </c>
      <c r="P64" s="67">
        <f>P65/P63</f>
        <v>451.17112572731276</v>
      </c>
      <c r="Q64" s="67" t="e">
        <f>Q65/Q63</f>
        <v>#DIV/0!</v>
      </c>
      <c r="R64" s="67" t="e">
        <f>R65/R63</f>
        <v>#DIV/0!</v>
      </c>
      <c r="S64" s="67" t="e">
        <f>S65/S63</f>
        <v>#DIV/0!</v>
      </c>
      <c r="T64" s="67">
        <f>T65/T63</f>
        <v>451.17112572731276</v>
      </c>
    </row>
    <row r="65" spans="1:20">
      <c r="A65" s="28">
        <v>9</v>
      </c>
      <c r="B65" s="13" t="str">
        <f t="shared" si="24"/>
        <v>Fixed Cost Adjustment Revenue</v>
      </c>
      <c r="C65" s="28" t="str">
        <f t="shared" si="24"/>
        <v>(7) x (8)</v>
      </c>
      <c r="D65" s="78">
        <f t="shared" ref="D65:O65" si="25">D63*D64</f>
        <v>700601.3282058828</v>
      </c>
      <c r="E65" s="78">
        <f t="shared" si="25"/>
        <v>626949.14748949115</v>
      </c>
      <c r="F65" s="78">
        <f t="shared" si="25"/>
        <v>569172.93686224893</v>
      </c>
      <c r="G65" s="78">
        <f t="shared" si="25"/>
        <v>0</v>
      </c>
      <c r="H65" s="78">
        <f t="shared" si="25"/>
        <v>0</v>
      </c>
      <c r="I65" s="78">
        <f t="shared" si="25"/>
        <v>0</v>
      </c>
      <c r="J65" s="78">
        <f t="shared" si="25"/>
        <v>0</v>
      </c>
      <c r="K65" s="78">
        <f t="shared" si="25"/>
        <v>0</v>
      </c>
      <c r="L65" s="78">
        <f t="shared" si="25"/>
        <v>0</v>
      </c>
      <c r="M65" s="78">
        <f t="shared" si="25"/>
        <v>0</v>
      </c>
      <c r="N65" s="78">
        <f t="shared" si="25"/>
        <v>0</v>
      </c>
      <c r="O65" s="78">
        <f t="shared" si="25"/>
        <v>0</v>
      </c>
      <c r="P65" s="30">
        <f>SUM(D65:F65)</f>
        <v>1896723.4125576229</v>
      </c>
      <c r="Q65" s="30">
        <f>SUM(G65:I65)</f>
        <v>0</v>
      </c>
      <c r="R65" s="30">
        <f>SUM(J65:L65)</f>
        <v>0</v>
      </c>
      <c r="S65" s="30">
        <f>SUM(M65:O65)</f>
        <v>0</v>
      </c>
      <c r="T65" s="30">
        <f>SUM(D65:O65)</f>
        <v>1896723.4125576229</v>
      </c>
    </row>
    <row r="66" spans="1:20">
      <c r="A66" s="28">
        <v>10</v>
      </c>
      <c r="B66" s="13"/>
      <c r="C66" s="28"/>
      <c r="D66" s="79"/>
      <c r="E66" s="79"/>
      <c r="F66" s="79"/>
      <c r="G66" s="79"/>
      <c r="H66" s="79"/>
      <c r="I66" s="79"/>
      <c r="J66" s="79"/>
      <c r="K66" s="79"/>
      <c r="L66" s="79"/>
      <c r="M66" s="79"/>
      <c r="N66" s="79"/>
      <c r="O66" s="79"/>
    </row>
    <row r="67" spans="1:20">
      <c r="A67" s="28">
        <v>11</v>
      </c>
      <c r="B67" s="13" t="str">
        <f t="shared" si="24"/>
        <v>Actual Base Rate Revenue</v>
      </c>
      <c r="C67" s="28" t="str">
        <f t="shared" si="24"/>
        <v>(3) - (26)</v>
      </c>
      <c r="D67" s="78">
        <f>D59-D82</f>
        <v>810125.50705000001</v>
      </c>
      <c r="E67" s="78">
        <f t="shared" ref="E67:O68" si="26">E59-E82</f>
        <v>696225.17862000002</v>
      </c>
      <c r="F67" s="78">
        <f t="shared" si="26"/>
        <v>632509.2850400001</v>
      </c>
      <c r="G67" s="78">
        <f t="shared" si="26"/>
        <v>0</v>
      </c>
      <c r="H67" s="78">
        <f t="shared" si="26"/>
        <v>0</v>
      </c>
      <c r="I67" s="78">
        <f t="shared" si="26"/>
        <v>0</v>
      </c>
      <c r="J67" s="78">
        <f t="shared" si="26"/>
        <v>0</v>
      </c>
      <c r="K67" s="78">
        <f t="shared" si="26"/>
        <v>0</v>
      </c>
      <c r="L67" s="78">
        <f t="shared" si="26"/>
        <v>0</v>
      </c>
      <c r="M67" s="78">
        <f t="shared" si="26"/>
        <v>0</v>
      </c>
      <c r="N67" s="78">
        <f t="shared" si="26"/>
        <v>0</v>
      </c>
      <c r="O67" s="78">
        <f t="shared" si="26"/>
        <v>0</v>
      </c>
    </row>
    <row r="68" spans="1:20">
      <c r="A68" s="28">
        <v>12</v>
      </c>
      <c r="B68" s="13" t="str">
        <f t="shared" si="24"/>
        <v>Actual Fixed Charge Revenue</v>
      </c>
      <c r="C68" s="28" t="str">
        <f t="shared" si="24"/>
        <v>(4) - (27)</v>
      </c>
      <c r="D68" s="78">
        <f>D60-D83</f>
        <v>136349.13</v>
      </c>
      <c r="E68" s="78">
        <f t="shared" si="26"/>
        <v>140976.27000000002</v>
      </c>
      <c r="F68" s="78">
        <f t="shared" si="26"/>
        <v>142331.09999999998</v>
      </c>
      <c r="G68" s="78">
        <f t="shared" si="26"/>
        <v>0</v>
      </c>
      <c r="H68" s="78">
        <f t="shared" si="26"/>
        <v>0</v>
      </c>
      <c r="I68" s="78">
        <f t="shared" si="26"/>
        <v>0</v>
      </c>
      <c r="J68" s="78">
        <f t="shared" si="26"/>
        <v>0</v>
      </c>
      <c r="K68" s="78">
        <f t="shared" si="26"/>
        <v>0</v>
      </c>
      <c r="L68" s="78">
        <f t="shared" si="26"/>
        <v>0</v>
      </c>
      <c r="M68" s="78">
        <f t="shared" si="26"/>
        <v>0</v>
      </c>
      <c r="N68" s="78">
        <f t="shared" si="26"/>
        <v>0</v>
      </c>
      <c r="O68" s="78">
        <f t="shared" si="26"/>
        <v>0</v>
      </c>
    </row>
    <row r="69" spans="1:20">
      <c r="A69" s="28">
        <v>13</v>
      </c>
      <c r="B69" s="13" t="str">
        <f t="shared" si="24"/>
        <v>Actual Usage (Therms)</v>
      </c>
      <c r="C69" s="28" t="str">
        <f t="shared" si="24"/>
        <v>(2) - (28)</v>
      </c>
      <c r="D69" s="74">
        <f>D58-D84</f>
        <v>2811724</v>
      </c>
      <c r="E69" s="74">
        <f t="shared" ref="E69:O69" si="27">E58-E84</f>
        <v>2314794</v>
      </c>
      <c r="F69" s="74">
        <f t="shared" si="27"/>
        <v>2109170</v>
      </c>
      <c r="G69" s="74">
        <f t="shared" si="27"/>
        <v>0</v>
      </c>
      <c r="H69" s="74">
        <f t="shared" si="27"/>
        <v>0</v>
      </c>
      <c r="I69" s="74">
        <f t="shared" si="27"/>
        <v>0</v>
      </c>
      <c r="J69" s="74">
        <f t="shared" si="27"/>
        <v>0</v>
      </c>
      <c r="K69" s="74">
        <f t="shared" si="27"/>
        <v>0</v>
      </c>
      <c r="L69" s="74">
        <f t="shared" si="27"/>
        <v>0</v>
      </c>
      <c r="M69" s="74">
        <f t="shared" si="27"/>
        <v>0</v>
      </c>
      <c r="N69" s="74">
        <f t="shared" si="27"/>
        <v>0</v>
      </c>
      <c r="O69" s="74">
        <f t="shared" si="27"/>
        <v>0</v>
      </c>
    </row>
    <row r="70" spans="1:20">
      <c r="A70" s="28">
        <v>14</v>
      </c>
      <c r="B70" s="13"/>
      <c r="C70" s="28"/>
      <c r="D70" s="80"/>
      <c r="E70" s="80"/>
      <c r="F70" s="80"/>
      <c r="G70" s="80"/>
      <c r="H70" s="80"/>
      <c r="I70" s="80"/>
      <c r="J70" s="80"/>
      <c r="K70" s="80"/>
      <c r="L70" s="80"/>
      <c r="M70" s="80"/>
      <c r="N70" s="80"/>
      <c r="O70" s="80"/>
    </row>
    <row r="71" spans="1:20">
      <c r="A71" s="28">
        <v>15</v>
      </c>
      <c r="B71" s="13"/>
      <c r="C71" s="28"/>
      <c r="D71" s="78"/>
      <c r="E71" s="78"/>
      <c r="F71" s="78"/>
      <c r="G71" s="78"/>
      <c r="H71" s="78"/>
      <c r="I71" s="78"/>
      <c r="J71" s="78"/>
      <c r="K71" s="78"/>
      <c r="L71" s="78"/>
      <c r="M71" s="78"/>
      <c r="N71" s="78"/>
      <c r="O71" s="78"/>
    </row>
    <row r="72" spans="1:20">
      <c r="A72" s="28">
        <v>16</v>
      </c>
      <c r="B72" s="13" t="str">
        <f t="shared" si="24"/>
        <v>Customer Fixed Cost Adjustment Revenue</v>
      </c>
      <c r="C72" s="28" t="str">
        <f t="shared" si="24"/>
        <v>(11) - (12) -(15)</v>
      </c>
      <c r="D72" s="78">
        <f>D67-D68-D71</f>
        <v>673776.37705000001</v>
      </c>
      <c r="E72" s="78">
        <f t="shared" ref="E72:O72" si="28">E67-E68-E71</f>
        <v>555248.90862</v>
      </c>
      <c r="F72" s="78">
        <f t="shared" si="28"/>
        <v>490178.18504000013</v>
      </c>
      <c r="G72" s="78">
        <f t="shared" si="28"/>
        <v>0</v>
      </c>
      <c r="H72" s="78">
        <f t="shared" si="28"/>
        <v>0</v>
      </c>
      <c r="I72" s="78">
        <f t="shared" si="28"/>
        <v>0</v>
      </c>
      <c r="J72" s="78">
        <f t="shared" si="28"/>
        <v>0</v>
      </c>
      <c r="K72" s="78">
        <f t="shared" si="28"/>
        <v>0</v>
      </c>
      <c r="L72" s="78">
        <f t="shared" si="28"/>
        <v>0</v>
      </c>
      <c r="M72" s="78">
        <f t="shared" si="28"/>
        <v>0</v>
      </c>
      <c r="N72" s="78">
        <f t="shared" si="28"/>
        <v>0</v>
      </c>
      <c r="O72" s="78">
        <f t="shared" si="28"/>
        <v>0</v>
      </c>
      <c r="P72" s="30">
        <f>SUM(D72:F72)</f>
        <v>1719203.4707100003</v>
      </c>
      <c r="Q72" s="30">
        <f>SUM(G72:I72)</f>
        <v>0</v>
      </c>
      <c r="R72" s="30">
        <f>SUM(J72:L72)</f>
        <v>0</v>
      </c>
      <c r="S72" s="30">
        <f>SUM(M72:O72)</f>
        <v>0</v>
      </c>
      <c r="T72" s="30">
        <f>SUM(D72:O72)</f>
        <v>1719203.4707100003</v>
      </c>
    </row>
    <row r="73" spans="1:20">
      <c r="A73" s="28">
        <v>17</v>
      </c>
      <c r="B73" s="3" t="s">
        <v>27</v>
      </c>
      <c r="C73" s="28"/>
      <c r="D73" s="97">
        <f>D72/D63</f>
        <v>483.68727713567841</v>
      </c>
      <c r="E73" s="97">
        <f t="shared" ref="E73:O73" si="29">E72/E63</f>
        <v>396.88985605432453</v>
      </c>
      <c r="F73" s="97">
        <f t="shared" si="29"/>
        <v>347.15168912181315</v>
      </c>
      <c r="G73" s="97" t="e">
        <f t="shared" si="29"/>
        <v>#DIV/0!</v>
      </c>
      <c r="H73" s="97" t="e">
        <f t="shared" si="29"/>
        <v>#DIV/0!</v>
      </c>
      <c r="I73" s="97" t="e">
        <f t="shared" si="29"/>
        <v>#DIV/0!</v>
      </c>
      <c r="J73" s="97" t="e">
        <f t="shared" si="29"/>
        <v>#DIV/0!</v>
      </c>
      <c r="K73" s="97" t="e">
        <f t="shared" si="29"/>
        <v>#DIV/0!</v>
      </c>
      <c r="L73" s="97" t="e">
        <f t="shared" si="29"/>
        <v>#DIV/0!</v>
      </c>
      <c r="M73" s="97" t="e">
        <f t="shared" si="29"/>
        <v>#DIV/0!</v>
      </c>
      <c r="N73" s="97" t="e">
        <f t="shared" si="29"/>
        <v>#DIV/0!</v>
      </c>
      <c r="O73" s="97" t="e">
        <f t="shared" si="29"/>
        <v>#DIV/0!</v>
      </c>
      <c r="P73" s="67">
        <f>P72/P63</f>
        <v>408.94468856089446</v>
      </c>
      <c r="Q73" s="67" t="e">
        <f t="shared" ref="Q73:T73" si="30">Q72/Q63</f>
        <v>#DIV/0!</v>
      </c>
      <c r="R73" s="67" t="e">
        <f t="shared" si="30"/>
        <v>#DIV/0!</v>
      </c>
      <c r="S73" s="67" t="e">
        <f t="shared" si="30"/>
        <v>#DIV/0!</v>
      </c>
      <c r="T73" s="67">
        <f t="shared" si="30"/>
        <v>408.94468856089446</v>
      </c>
    </row>
    <row r="74" spans="1:20">
      <c r="A74" s="28">
        <v>18</v>
      </c>
      <c r="B74" s="13" t="str">
        <f t="shared" si="24"/>
        <v>Existing Customer Deferral - Surcharge (Rebate)</v>
      </c>
      <c r="C74" s="28" t="str">
        <f t="shared" si="24"/>
        <v>(9) - (16)</v>
      </c>
      <c r="D74" s="78">
        <f>D65-D72</f>
        <v>26824.951155882794</v>
      </c>
      <c r="E74" s="78">
        <f t="shared" ref="E74:O74" si="31">E65-E72</f>
        <v>71700.23886949115</v>
      </c>
      <c r="F74" s="78">
        <f t="shared" si="31"/>
        <v>78994.7518222488</v>
      </c>
      <c r="G74" s="78">
        <f t="shared" si="31"/>
        <v>0</v>
      </c>
      <c r="H74" s="78">
        <f t="shared" si="31"/>
        <v>0</v>
      </c>
      <c r="I74" s="78">
        <f t="shared" si="31"/>
        <v>0</v>
      </c>
      <c r="J74" s="78">
        <f t="shared" si="31"/>
        <v>0</v>
      </c>
      <c r="K74" s="78">
        <f t="shared" si="31"/>
        <v>0</v>
      </c>
      <c r="L74" s="78">
        <f t="shared" si="31"/>
        <v>0</v>
      </c>
      <c r="M74" s="78">
        <f t="shared" si="31"/>
        <v>0</v>
      </c>
      <c r="N74" s="78">
        <f t="shared" si="31"/>
        <v>0</v>
      </c>
      <c r="O74" s="78">
        <f t="shared" si="31"/>
        <v>0</v>
      </c>
      <c r="P74" s="30">
        <f>SUM(D74:F74)</f>
        <v>177519.94184762274</v>
      </c>
      <c r="Q74" s="30">
        <f>SUM(G74:I74)</f>
        <v>0</v>
      </c>
      <c r="R74" s="30">
        <f>SUM(J74:L74)</f>
        <v>0</v>
      </c>
      <c r="S74" s="30">
        <f>SUM(M74:O74)</f>
        <v>0</v>
      </c>
      <c r="T74" s="30">
        <f>SUM(D74:O74)</f>
        <v>177519.94184762274</v>
      </c>
    </row>
    <row r="75" spans="1:20">
      <c r="A75" s="28">
        <v>19</v>
      </c>
      <c r="B75" s="13"/>
      <c r="C75" s="28"/>
      <c r="D75" s="78"/>
      <c r="E75" s="78"/>
      <c r="F75" s="78"/>
      <c r="G75" s="78"/>
      <c r="H75" s="78"/>
      <c r="I75" s="78"/>
      <c r="J75" s="78"/>
      <c r="K75" s="78"/>
      <c r="L75" s="78"/>
      <c r="M75" s="78"/>
      <c r="N75" s="78"/>
      <c r="O75" s="78"/>
    </row>
    <row r="76" spans="1:20" ht="14.5" customHeight="1">
      <c r="A76" s="28">
        <v>20</v>
      </c>
      <c r="B76" s="13"/>
      <c r="C76" s="28"/>
      <c r="D76" s="78"/>
      <c r="E76" s="78"/>
      <c r="F76" s="78"/>
      <c r="G76" s="78"/>
      <c r="H76" s="78"/>
      <c r="I76" s="78"/>
      <c r="J76" s="78"/>
      <c r="K76" s="78"/>
      <c r="L76" s="78"/>
      <c r="M76" s="78"/>
      <c r="N76" s="78"/>
      <c r="O76" s="78"/>
    </row>
    <row r="77" spans="1:20">
      <c r="A77" s="28">
        <v>21</v>
      </c>
      <c r="B77" s="71" t="str">
        <f t="shared" ref="B77:C91" si="32">B31</f>
        <v>New Customers</v>
      </c>
      <c r="C77" s="28"/>
      <c r="D77" s="78"/>
      <c r="E77" s="78"/>
      <c r="F77" s="78"/>
      <c r="G77" s="78"/>
      <c r="H77" s="78"/>
      <c r="I77" s="78"/>
      <c r="J77" s="78"/>
      <c r="K77" s="78"/>
      <c r="L77" s="78"/>
      <c r="M77" s="78"/>
      <c r="N77" s="78"/>
      <c r="O77" s="78"/>
    </row>
    <row r="78" spans="1:20">
      <c r="A78" s="28">
        <v>22</v>
      </c>
      <c r="B78" s="13" t="str">
        <f t="shared" si="32"/>
        <v>Actual Customers New Since Test Year</v>
      </c>
      <c r="C78" s="28" t="str">
        <f t="shared" si="24"/>
        <v>Revenue Reports</v>
      </c>
      <c r="D78" s="106">
        <v>18</v>
      </c>
      <c r="E78" s="106">
        <v>17</v>
      </c>
      <c r="F78" s="106">
        <v>18</v>
      </c>
      <c r="G78" s="106"/>
      <c r="H78" s="106"/>
      <c r="I78" s="106"/>
      <c r="J78" s="106"/>
      <c r="K78" s="106"/>
      <c r="L78" s="106"/>
      <c r="M78" s="106"/>
      <c r="N78" s="106"/>
      <c r="O78" s="106"/>
      <c r="P78" s="29">
        <f>SUM(D78:F78)</f>
        <v>53</v>
      </c>
      <c r="Q78" s="29">
        <f>SUM(G78:I78)</f>
        <v>0</v>
      </c>
      <c r="R78" s="29">
        <f>SUM(J78:L78)</f>
        <v>0</v>
      </c>
      <c r="S78" s="29">
        <f>SUM(M78:O78)</f>
        <v>0</v>
      </c>
      <c r="T78" s="29">
        <f>SUM(D78:O78)</f>
        <v>53</v>
      </c>
    </row>
    <row r="79" spans="1:20">
      <c r="A79" s="28">
        <v>23</v>
      </c>
      <c r="B79" s="13" t="str">
        <f t="shared" si="32"/>
        <v>Monthly Fixed Cost Adj. Revenue per Customer</v>
      </c>
      <c r="C79" s="28" t="str">
        <f t="shared" si="24"/>
        <v>Page 3</v>
      </c>
      <c r="D79" s="76">
        <v>436.2832671748813</v>
      </c>
      <c r="E79" s="76">
        <v>388.74365940400526</v>
      </c>
      <c r="F79" s="76">
        <v>349.6699103063799</v>
      </c>
      <c r="G79" s="76">
        <v>241.80161256515117</v>
      </c>
      <c r="H79" s="76">
        <v>173.92514920045011</v>
      </c>
      <c r="I79" s="76">
        <v>182.47196128506687</v>
      </c>
      <c r="J79" s="76">
        <v>129.1103596621478</v>
      </c>
      <c r="K79" s="76">
        <v>152.08513594557661</v>
      </c>
      <c r="L79" s="76">
        <v>133.53180288677959</v>
      </c>
      <c r="M79" s="76">
        <v>288.2214591634243</v>
      </c>
      <c r="N79" s="76">
        <v>357.09115861373294</v>
      </c>
      <c r="O79" s="76">
        <v>414.79452379240422</v>
      </c>
      <c r="P79" s="67">
        <f>P80/P78</f>
        <v>391.61885668926027</v>
      </c>
      <c r="Q79" s="67" t="e">
        <f>Q80/Q78</f>
        <v>#DIV/0!</v>
      </c>
      <c r="R79" s="67" t="e">
        <f>R80/R78</f>
        <v>#DIV/0!</v>
      </c>
      <c r="S79" s="67" t="e">
        <f>S80/S78</f>
        <v>#DIV/0!</v>
      </c>
      <c r="T79" s="67">
        <f>T80/T78</f>
        <v>391.61885668926027</v>
      </c>
    </row>
    <row r="80" spans="1:20">
      <c r="A80" s="28">
        <v>24</v>
      </c>
      <c r="B80" s="13" t="str">
        <f t="shared" si="32"/>
        <v>Fixed Cost Adjustment Revenue</v>
      </c>
      <c r="C80" s="28" t="str">
        <f t="shared" si="32"/>
        <v>(22) x (23)</v>
      </c>
      <c r="D80" s="78">
        <f t="shared" ref="D80:O80" si="33">D78*D79</f>
        <v>7853.098809147863</v>
      </c>
      <c r="E80" s="78">
        <f t="shared" si="33"/>
        <v>6608.6422098680896</v>
      </c>
      <c r="F80" s="78">
        <f t="shared" si="33"/>
        <v>6294.0583855148379</v>
      </c>
      <c r="G80" s="78">
        <f t="shared" si="33"/>
        <v>0</v>
      </c>
      <c r="H80" s="78">
        <f t="shared" si="33"/>
        <v>0</v>
      </c>
      <c r="I80" s="78">
        <f t="shared" si="33"/>
        <v>0</v>
      </c>
      <c r="J80" s="78">
        <f t="shared" si="33"/>
        <v>0</v>
      </c>
      <c r="K80" s="78">
        <f t="shared" si="33"/>
        <v>0</v>
      </c>
      <c r="L80" s="78">
        <f t="shared" si="33"/>
        <v>0</v>
      </c>
      <c r="M80" s="78">
        <f t="shared" si="33"/>
        <v>0</v>
      </c>
      <c r="N80" s="78">
        <f t="shared" si="33"/>
        <v>0</v>
      </c>
      <c r="O80" s="78">
        <f t="shared" si="33"/>
        <v>0</v>
      </c>
      <c r="P80" s="30">
        <f>SUM(D80:F80)</f>
        <v>20755.799404530793</v>
      </c>
      <c r="Q80" s="30">
        <f>SUM(G80:I80)</f>
        <v>0</v>
      </c>
      <c r="R80" s="30">
        <f>SUM(J80:L80)</f>
        <v>0</v>
      </c>
      <c r="S80" s="30">
        <f>SUM(M80:O80)</f>
        <v>0</v>
      </c>
      <c r="T80" s="30">
        <f>SUM(D80:O80)</f>
        <v>20755.799404530793</v>
      </c>
    </row>
    <row r="81" spans="1:20">
      <c r="A81" s="28">
        <v>25</v>
      </c>
      <c r="B81" s="13"/>
      <c r="C81" s="28"/>
      <c r="D81" s="79"/>
      <c r="E81" s="79"/>
      <c r="F81" s="79"/>
      <c r="G81" s="79"/>
      <c r="H81" s="79"/>
      <c r="I81" s="79"/>
      <c r="J81" s="79"/>
      <c r="K81" s="79"/>
      <c r="L81" s="79"/>
      <c r="M81" s="79"/>
      <c r="N81" s="79"/>
      <c r="O81" s="79"/>
    </row>
    <row r="82" spans="1:20">
      <c r="A82" s="28">
        <v>26</v>
      </c>
      <c r="B82" s="13" t="str">
        <f t="shared" ref="B82:B84" si="34">B36</f>
        <v>Actual Base Rate Revenue</v>
      </c>
      <c r="C82" s="28" t="str">
        <f t="shared" si="32"/>
        <v>Revenue Reports</v>
      </c>
      <c r="D82" s="107">
        <v>13376.84</v>
      </c>
      <c r="E82" s="107">
        <v>10533.21</v>
      </c>
      <c r="F82" s="107">
        <v>13635.1</v>
      </c>
      <c r="G82" s="107"/>
      <c r="H82" s="107"/>
      <c r="I82" s="107"/>
      <c r="J82" s="107"/>
      <c r="K82" s="107"/>
      <c r="L82" s="107"/>
      <c r="M82" s="107"/>
      <c r="N82" s="107"/>
      <c r="O82" s="107"/>
    </row>
    <row r="83" spans="1:20">
      <c r="A83" s="28">
        <v>27</v>
      </c>
      <c r="B83" s="13" t="str">
        <f t="shared" si="34"/>
        <v>Actual Fixed Charge Revenue</v>
      </c>
      <c r="C83" s="28" t="str">
        <f t="shared" si="32"/>
        <v>Revenue Reports</v>
      </c>
      <c r="D83" s="107">
        <v>1813.5</v>
      </c>
      <c r="E83" s="107">
        <v>1712.75</v>
      </c>
      <c r="F83" s="107">
        <v>1813.5</v>
      </c>
      <c r="G83" s="107"/>
      <c r="H83" s="107"/>
      <c r="I83" s="107"/>
      <c r="J83" s="107"/>
      <c r="K83" s="107"/>
      <c r="L83" s="107"/>
      <c r="M83" s="107"/>
      <c r="N83" s="107"/>
      <c r="O83" s="107"/>
    </row>
    <row r="84" spans="1:20">
      <c r="A84" s="28">
        <v>28</v>
      </c>
      <c r="B84" s="13" t="str">
        <f t="shared" si="34"/>
        <v>Actual Usage (Therms)</v>
      </c>
      <c r="C84" s="28" t="str">
        <f t="shared" si="32"/>
        <v>Revenue Reports</v>
      </c>
      <c r="D84" s="106">
        <v>34993</v>
      </c>
      <c r="E84" s="106">
        <v>26774</v>
      </c>
      <c r="F84" s="106">
        <v>40558</v>
      </c>
      <c r="G84" s="106"/>
      <c r="H84" s="106"/>
      <c r="I84" s="106"/>
      <c r="J84" s="106"/>
      <c r="K84" s="106"/>
      <c r="L84" s="106"/>
      <c r="M84" s="106"/>
      <c r="N84" s="106"/>
      <c r="O84" s="106"/>
    </row>
    <row r="85" spans="1:20">
      <c r="A85" s="28">
        <v>29</v>
      </c>
      <c r="B85" s="13"/>
      <c r="C85" s="28"/>
      <c r="D85" s="80"/>
      <c r="E85" s="80"/>
      <c r="F85" s="80"/>
      <c r="G85" s="80"/>
      <c r="H85" s="80"/>
      <c r="I85" s="80"/>
      <c r="J85" s="80"/>
      <c r="K85" s="80"/>
      <c r="L85" s="80"/>
      <c r="M85" s="80"/>
      <c r="N85" s="80"/>
      <c r="O85" s="80"/>
    </row>
    <row r="86" spans="1:20">
      <c r="A86" s="28">
        <v>30</v>
      </c>
      <c r="B86" s="13"/>
      <c r="C86" s="28"/>
      <c r="D86" s="78"/>
      <c r="E86" s="78"/>
      <c r="F86" s="78"/>
      <c r="G86" s="78"/>
      <c r="H86" s="78"/>
      <c r="I86" s="78"/>
      <c r="J86" s="78"/>
      <c r="K86" s="78"/>
      <c r="L86" s="78"/>
      <c r="M86" s="78"/>
      <c r="N86" s="78"/>
      <c r="O86" s="78"/>
    </row>
    <row r="87" spans="1:20">
      <c r="A87" s="28">
        <v>31</v>
      </c>
      <c r="B87" s="13" t="str">
        <f t="shared" ref="B87:B89" si="35">B41</f>
        <v>Fixed Production and UG Storage Rate per Therm</v>
      </c>
      <c r="C87" s="28" t="s">
        <v>99</v>
      </c>
      <c r="D87" s="80">
        <v>2.8684999999999999E-2</v>
      </c>
      <c r="E87" s="80">
        <f>D87</f>
        <v>2.8684999999999999E-2</v>
      </c>
      <c r="F87" s="80">
        <f t="shared" ref="F87:O87" si="36">E87</f>
        <v>2.8684999999999999E-2</v>
      </c>
      <c r="G87" s="80">
        <f t="shared" si="36"/>
        <v>2.8684999999999999E-2</v>
      </c>
      <c r="H87" s="80">
        <f t="shared" si="36"/>
        <v>2.8684999999999999E-2</v>
      </c>
      <c r="I87" s="80">
        <f t="shared" si="36"/>
        <v>2.8684999999999999E-2</v>
      </c>
      <c r="J87" s="80">
        <f t="shared" si="36"/>
        <v>2.8684999999999999E-2</v>
      </c>
      <c r="K87" s="80">
        <f t="shared" si="36"/>
        <v>2.8684999999999999E-2</v>
      </c>
      <c r="L87" s="80">
        <f t="shared" si="36"/>
        <v>2.8684999999999999E-2</v>
      </c>
      <c r="M87" s="80">
        <f t="shared" si="36"/>
        <v>2.8684999999999999E-2</v>
      </c>
      <c r="N87" s="80">
        <f t="shared" si="36"/>
        <v>2.8684999999999999E-2</v>
      </c>
      <c r="O87" s="80">
        <f t="shared" si="36"/>
        <v>2.8684999999999999E-2</v>
      </c>
    </row>
    <row r="88" spans="1:20">
      <c r="A88" s="28">
        <v>32</v>
      </c>
      <c r="B88" s="13" t="str">
        <f t="shared" si="35"/>
        <v>Fixed Production and UG Storage Revenue</v>
      </c>
      <c r="C88" s="28" t="str">
        <f t="shared" si="32"/>
        <v>(30) x (31)</v>
      </c>
      <c r="D88" s="78">
        <f>D84*D87</f>
        <v>1003.7742049999999</v>
      </c>
      <c r="E88" s="78">
        <f t="shared" ref="E88:O88" si="37">E84*E87</f>
        <v>768.01218999999992</v>
      </c>
      <c r="F88" s="78">
        <f t="shared" si="37"/>
        <v>1163.4062300000001</v>
      </c>
      <c r="G88" s="78">
        <f t="shared" si="37"/>
        <v>0</v>
      </c>
      <c r="H88" s="78">
        <f t="shared" si="37"/>
        <v>0</v>
      </c>
      <c r="I88" s="78">
        <f t="shared" si="37"/>
        <v>0</v>
      </c>
      <c r="J88" s="78">
        <f t="shared" si="37"/>
        <v>0</v>
      </c>
      <c r="K88" s="78">
        <f t="shared" si="37"/>
        <v>0</v>
      </c>
      <c r="L88" s="78">
        <f t="shared" si="37"/>
        <v>0</v>
      </c>
      <c r="M88" s="78">
        <f t="shared" si="37"/>
        <v>0</v>
      </c>
      <c r="N88" s="78">
        <f t="shared" si="37"/>
        <v>0</v>
      </c>
      <c r="O88" s="78">
        <f t="shared" si="37"/>
        <v>0</v>
      </c>
    </row>
    <row r="89" spans="1:20">
      <c r="A89" s="28">
        <v>33</v>
      </c>
      <c r="B89" s="13" t="str">
        <f t="shared" si="35"/>
        <v>Customer Fixed Cost Adjustment Revenue</v>
      </c>
      <c r="C89" s="28" t="str">
        <f t="shared" si="32"/>
        <v>(26) - (27) - (30) - (32)</v>
      </c>
      <c r="D89" s="78">
        <f>D82-D83-D86-D88</f>
        <v>10559.565795</v>
      </c>
      <c r="E89" s="78">
        <f t="shared" ref="E89:O89" si="38">E82-E83-E86-E88</f>
        <v>8052.4478099999997</v>
      </c>
      <c r="F89" s="78">
        <f t="shared" si="38"/>
        <v>10658.19377</v>
      </c>
      <c r="G89" s="78">
        <f t="shared" si="38"/>
        <v>0</v>
      </c>
      <c r="H89" s="78">
        <f t="shared" si="38"/>
        <v>0</v>
      </c>
      <c r="I89" s="78">
        <f t="shared" si="38"/>
        <v>0</v>
      </c>
      <c r="J89" s="78">
        <f t="shared" si="38"/>
        <v>0</v>
      </c>
      <c r="K89" s="78">
        <f t="shared" si="38"/>
        <v>0</v>
      </c>
      <c r="L89" s="78">
        <f t="shared" si="38"/>
        <v>0</v>
      </c>
      <c r="M89" s="78">
        <f t="shared" si="38"/>
        <v>0</v>
      </c>
      <c r="N89" s="78">
        <f t="shared" si="38"/>
        <v>0</v>
      </c>
      <c r="O89" s="78">
        <f t="shared" si="38"/>
        <v>0</v>
      </c>
      <c r="P89" s="30">
        <f>SUM(D89:F89)</f>
        <v>29270.207374999998</v>
      </c>
      <c r="Q89" s="30">
        <f>SUM(G89:I89)</f>
        <v>0</v>
      </c>
      <c r="R89" s="30">
        <f>SUM(J89:L89)</f>
        <v>0</v>
      </c>
      <c r="S89" s="30">
        <f>SUM(M89:O89)</f>
        <v>0</v>
      </c>
      <c r="T89" s="30">
        <f>SUM(D89:O89)</f>
        <v>29270.207374999998</v>
      </c>
    </row>
    <row r="90" spans="1:20">
      <c r="A90" s="28">
        <v>34</v>
      </c>
      <c r="B90" s="3" t="s">
        <v>27</v>
      </c>
      <c r="C90" s="28"/>
      <c r="D90" s="81">
        <f t="shared" ref="D90:O90" si="39">D89/D78</f>
        <v>586.64254416666665</v>
      </c>
      <c r="E90" s="81">
        <f t="shared" si="39"/>
        <v>473.67340058823527</v>
      </c>
      <c r="F90" s="81">
        <f t="shared" si="39"/>
        <v>592.12187611111108</v>
      </c>
      <c r="G90" s="81" t="e">
        <f t="shared" si="39"/>
        <v>#DIV/0!</v>
      </c>
      <c r="H90" s="81" t="e">
        <f t="shared" si="39"/>
        <v>#DIV/0!</v>
      </c>
      <c r="I90" s="81" t="e">
        <f t="shared" si="39"/>
        <v>#DIV/0!</v>
      </c>
      <c r="J90" s="81" t="e">
        <f t="shared" si="39"/>
        <v>#DIV/0!</v>
      </c>
      <c r="K90" s="81" t="e">
        <f t="shared" si="39"/>
        <v>#DIV/0!</v>
      </c>
      <c r="L90" s="81" t="e">
        <f t="shared" si="39"/>
        <v>#DIV/0!</v>
      </c>
      <c r="M90" s="81" t="e">
        <f t="shared" si="39"/>
        <v>#DIV/0!</v>
      </c>
      <c r="N90" s="81" t="e">
        <f t="shared" si="39"/>
        <v>#DIV/0!</v>
      </c>
      <c r="O90" s="81" t="e">
        <f t="shared" si="39"/>
        <v>#DIV/0!</v>
      </c>
      <c r="P90" s="67">
        <f>P89/P78</f>
        <v>552.2680636792453</v>
      </c>
      <c r="Q90" s="67" t="e">
        <f t="shared" ref="Q90:T90" si="40">Q89/Q78</f>
        <v>#DIV/0!</v>
      </c>
      <c r="R90" s="67" t="e">
        <f t="shared" si="40"/>
        <v>#DIV/0!</v>
      </c>
      <c r="S90" s="67" t="e">
        <f t="shared" si="40"/>
        <v>#DIV/0!</v>
      </c>
      <c r="T90" s="67">
        <f t="shared" si="40"/>
        <v>552.2680636792453</v>
      </c>
    </row>
    <row r="91" spans="1:20">
      <c r="A91" s="28">
        <v>35</v>
      </c>
      <c r="B91" s="13" t="str">
        <f t="shared" ref="B91" si="41">B45</f>
        <v>New Customer Deferral - Surcharge (Rebate)</v>
      </c>
      <c r="C91" s="28" t="str">
        <f t="shared" si="32"/>
        <v>(9) - (33)</v>
      </c>
      <c r="D91" s="78">
        <f t="shared" ref="D91:O91" si="42">D80-D89</f>
        <v>-2706.4669858521374</v>
      </c>
      <c r="E91" s="78">
        <f t="shared" si="42"/>
        <v>-1443.8056001319101</v>
      </c>
      <c r="F91" s="78">
        <f t="shared" si="42"/>
        <v>-4364.1353844851619</v>
      </c>
      <c r="G91" s="78">
        <f t="shared" si="42"/>
        <v>0</v>
      </c>
      <c r="H91" s="78">
        <f t="shared" si="42"/>
        <v>0</v>
      </c>
      <c r="I91" s="78">
        <f t="shared" si="42"/>
        <v>0</v>
      </c>
      <c r="J91" s="78">
        <f t="shared" si="42"/>
        <v>0</v>
      </c>
      <c r="K91" s="78">
        <f t="shared" si="42"/>
        <v>0</v>
      </c>
      <c r="L91" s="78">
        <f t="shared" si="42"/>
        <v>0</v>
      </c>
      <c r="M91" s="78">
        <f t="shared" si="42"/>
        <v>0</v>
      </c>
      <c r="N91" s="78">
        <f t="shared" si="42"/>
        <v>0</v>
      </c>
      <c r="O91" s="78">
        <f t="shared" si="42"/>
        <v>0</v>
      </c>
      <c r="P91" s="30">
        <f>SUM(D91:F91)</f>
        <v>-8514.4079704692085</v>
      </c>
      <c r="Q91" s="30">
        <f>SUM(G91:I91)</f>
        <v>0</v>
      </c>
      <c r="R91" s="30">
        <f>SUM(J91:L91)</f>
        <v>0</v>
      </c>
      <c r="S91" s="30">
        <f>SUM(M91:O91)</f>
        <v>0</v>
      </c>
      <c r="T91" s="30">
        <f>SUM(D91:O91)</f>
        <v>-8514.4079704692085</v>
      </c>
    </row>
    <row r="92" spans="1:20">
      <c r="A92" s="28">
        <v>36</v>
      </c>
      <c r="B92" s="13"/>
      <c r="C92" s="28"/>
      <c r="D92" s="78"/>
      <c r="E92" s="78"/>
      <c r="F92" s="78"/>
      <c r="G92" s="78"/>
      <c r="H92" s="78"/>
      <c r="I92" s="78"/>
      <c r="J92" s="78"/>
      <c r="K92" s="78"/>
      <c r="L92" s="78"/>
      <c r="M92" s="78"/>
      <c r="N92" s="78"/>
      <c r="O92" s="78"/>
    </row>
    <row r="93" spans="1:20">
      <c r="A93" s="83">
        <v>37</v>
      </c>
      <c r="B93" s="84" t="s">
        <v>100</v>
      </c>
      <c r="C93" s="83" t="str">
        <f t="shared" ref="C93:C96" si="43">C47</f>
        <v>(18) + (35)</v>
      </c>
      <c r="D93" s="85">
        <f>D74+D91</f>
        <v>24118.484170030657</v>
      </c>
      <c r="E93" s="85">
        <f>E74+E91</f>
        <v>70256.433269359244</v>
      </c>
      <c r="F93" s="85">
        <f t="shared" ref="F93:O93" si="44">F74+F91</f>
        <v>74630.616437763645</v>
      </c>
      <c r="G93" s="85">
        <f t="shared" si="44"/>
        <v>0</v>
      </c>
      <c r="H93" s="85">
        <f t="shared" si="44"/>
        <v>0</v>
      </c>
      <c r="I93" s="85">
        <f t="shared" si="44"/>
        <v>0</v>
      </c>
      <c r="J93" s="85">
        <f t="shared" si="44"/>
        <v>0</v>
      </c>
      <c r="K93" s="85">
        <f t="shared" si="44"/>
        <v>0</v>
      </c>
      <c r="L93" s="85">
        <f t="shared" si="44"/>
        <v>0</v>
      </c>
      <c r="M93" s="85">
        <f t="shared" si="44"/>
        <v>0</v>
      </c>
      <c r="N93" s="85">
        <f t="shared" si="44"/>
        <v>0</v>
      </c>
      <c r="O93" s="85">
        <f t="shared" si="44"/>
        <v>0</v>
      </c>
      <c r="P93" s="85">
        <f>SUM(D93:F93)</f>
        <v>169005.53387715353</v>
      </c>
      <c r="Q93" s="85">
        <f>SUM(G93:I93)</f>
        <v>0</v>
      </c>
      <c r="R93" s="85">
        <f>SUM(J93:L93)</f>
        <v>0</v>
      </c>
      <c r="S93" s="85">
        <f>SUM(M93:O93)</f>
        <v>0</v>
      </c>
      <c r="T93" s="85">
        <f>SUM(D93:O93)</f>
        <v>169005.53387715353</v>
      </c>
    </row>
    <row r="94" spans="1:20">
      <c r="A94" s="83">
        <v>38</v>
      </c>
      <c r="B94" s="84" t="str">
        <f t="shared" ref="B94" si="45">B48</f>
        <v>Deferral - Revenue Related Expenses</v>
      </c>
      <c r="C94" s="83" t="str">
        <f t="shared" si="43"/>
        <v>Rev Conv Factor</v>
      </c>
      <c r="D94" s="85">
        <f>D74*-0.005778</f>
        <v>-154.99456777869079</v>
      </c>
      <c r="E94" s="85">
        <f t="shared" ref="E94:O94" si="46">E74*-0.005778</f>
        <v>-414.28398018791989</v>
      </c>
      <c r="F94" s="85">
        <f t="shared" si="46"/>
        <v>-456.43167602895358</v>
      </c>
      <c r="G94" s="85">
        <f t="shared" si="46"/>
        <v>0</v>
      </c>
      <c r="H94" s="85">
        <f t="shared" si="46"/>
        <v>0</v>
      </c>
      <c r="I94" s="85">
        <f t="shared" si="46"/>
        <v>0</v>
      </c>
      <c r="J94" s="85">
        <f t="shared" si="46"/>
        <v>0</v>
      </c>
      <c r="K94" s="85">
        <f t="shared" si="46"/>
        <v>0</v>
      </c>
      <c r="L94" s="85">
        <f t="shared" si="46"/>
        <v>0</v>
      </c>
      <c r="M94" s="85">
        <f t="shared" si="46"/>
        <v>0</v>
      </c>
      <c r="N94" s="85">
        <f t="shared" si="46"/>
        <v>0</v>
      </c>
      <c r="O94" s="85">
        <f t="shared" si="46"/>
        <v>0</v>
      </c>
      <c r="P94" s="85">
        <f>SUM(D94:F94)</f>
        <v>-1025.7102239955643</v>
      </c>
      <c r="Q94" s="85">
        <f>SUM(G94:I94)</f>
        <v>0</v>
      </c>
      <c r="R94" s="85">
        <f>SUM(J94:L94)</f>
        <v>0</v>
      </c>
      <c r="S94" s="85">
        <f>SUM(M94:O94)</f>
        <v>0</v>
      </c>
      <c r="T94" s="85">
        <f>SUM(D94:O94)</f>
        <v>-1025.7102239955643</v>
      </c>
    </row>
    <row r="95" spans="1:20">
      <c r="A95" s="28">
        <v>39</v>
      </c>
      <c r="B95" s="13"/>
      <c r="C95" s="3" t="str">
        <f t="shared" si="43"/>
        <v>Customer Deposit Rate</v>
      </c>
      <c r="D95" s="88">
        <v>0.01</v>
      </c>
      <c r="E95" s="88">
        <f t="shared" ref="E95:O95" si="47">D95</f>
        <v>0.01</v>
      </c>
      <c r="F95" s="88">
        <f t="shared" si="47"/>
        <v>0.01</v>
      </c>
      <c r="G95" s="88">
        <v>0</v>
      </c>
      <c r="H95" s="88">
        <f t="shared" si="47"/>
        <v>0</v>
      </c>
      <c r="I95" s="88">
        <f t="shared" si="47"/>
        <v>0</v>
      </c>
      <c r="J95" s="88">
        <f t="shared" si="47"/>
        <v>0</v>
      </c>
      <c r="K95" s="88">
        <f t="shared" si="47"/>
        <v>0</v>
      </c>
      <c r="L95" s="88">
        <f t="shared" si="47"/>
        <v>0</v>
      </c>
      <c r="M95" s="88">
        <f t="shared" si="47"/>
        <v>0</v>
      </c>
      <c r="N95" s="88">
        <f t="shared" si="47"/>
        <v>0</v>
      </c>
      <c r="O95" s="88">
        <f t="shared" si="47"/>
        <v>0</v>
      </c>
    </row>
    <row r="96" spans="1:20">
      <c r="A96" s="83">
        <v>40</v>
      </c>
      <c r="B96" s="84" t="str">
        <f>B50</f>
        <v>Interest on Deferral</v>
      </c>
      <c r="C96" s="83" t="str">
        <f t="shared" si="43"/>
        <v>Avg Balance Calc</v>
      </c>
      <c r="D96" s="89">
        <f>(D93+D94)/2*D95/12</f>
        <v>9.9847873342716529</v>
      </c>
      <c r="E96" s="89">
        <f>(D99+(E93+E94)/2)*E95/12</f>
        <v>49.078790861809921</v>
      </c>
      <c r="F96" s="89">
        <f t="shared" ref="F96:O96" si="48">(E99+(F93+F94)/2)*F95/12</f>
        <v>109.12649570873891</v>
      </c>
      <c r="G96" s="89">
        <f t="shared" si="48"/>
        <v>0</v>
      </c>
      <c r="H96" s="89">
        <f t="shared" si="48"/>
        <v>0</v>
      </c>
      <c r="I96" s="89">
        <f t="shared" si="48"/>
        <v>0</v>
      </c>
      <c r="J96" s="89">
        <f t="shared" si="48"/>
        <v>0</v>
      </c>
      <c r="K96" s="89">
        <f t="shared" si="48"/>
        <v>0</v>
      </c>
      <c r="L96" s="89">
        <f t="shared" si="48"/>
        <v>0</v>
      </c>
      <c r="M96" s="89">
        <f t="shared" si="48"/>
        <v>0</v>
      </c>
      <c r="N96" s="89">
        <f t="shared" si="48"/>
        <v>0</v>
      </c>
      <c r="O96" s="89">
        <f t="shared" si="48"/>
        <v>0</v>
      </c>
      <c r="P96" s="89">
        <f>SUM(D96:F96)</f>
        <v>168.19007390482048</v>
      </c>
      <c r="Q96" s="89">
        <f>SUM(G96:I96)</f>
        <v>0</v>
      </c>
      <c r="R96" s="89">
        <f>SUM(J96:L96)</f>
        <v>0</v>
      </c>
      <c r="S96" s="89">
        <f>SUM(M96:O96)</f>
        <v>0</v>
      </c>
      <c r="T96" s="89">
        <f>SUM(D96:O96)</f>
        <v>168.19007390482048</v>
      </c>
    </row>
    <row r="97" spans="1:20">
      <c r="A97" s="90">
        <v>41</v>
      </c>
      <c r="B97" s="91" t="s">
        <v>29</v>
      </c>
      <c r="C97" s="90"/>
      <c r="D97" s="93">
        <f>D93+D94+D96</f>
        <v>23973.474389586241</v>
      </c>
      <c r="E97" s="93">
        <f>E93+E94+E96</f>
        <v>69891.228080033135</v>
      </c>
      <c r="F97" s="93">
        <f t="shared" ref="F97:T97" si="49">F93+F94+F96</f>
        <v>74283.311257443434</v>
      </c>
      <c r="G97" s="93">
        <f t="shared" si="49"/>
        <v>0</v>
      </c>
      <c r="H97" s="93">
        <f t="shared" si="49"/>
        <v>0</v>
      </c>
      <c r="I97" s="93">
        <f t="shared" si="49"/>
        <v>0</v>
      </c>
      <c r="J97" s="93">
        <f t="shared" si="49"/>
        <v>0</v>
      </c>
      <c r="K97" s="93">
        <f t="shared" si="49"/>
        <v>0</v>
      </c>
      <c r="L97" s="93">
        <f t="shared" si="49"/>
        <v>0</v>
      </c>
      <c r="M97" s="93">
        <f t="shared" si="49"/>
        <v>0</v>
      </c>
      <c r="N97" s="93">
        <f t="shared" si="49"/>
        <v>0</v>
      </c>
      <c r="O97" s="93">
        <f t="shared" si="49"/>
        <v>0</v>
      </c>
      <c r="P97" s="93">
        <f t="shared" si="49"/>
        <v>168148.01372706279</v>
      </c>
      <c r="Q97" s="93">
        <f t="shared" si="49"/>
        <v>0</v>
      </c>
      <c r="R97" s="93">
        <f t="shared" si="49"/>
        <v>0</v>
      </c>
      <c r="S97" s="93">
        <f t="shared" si="49"/>
        <v>0</v>
      </c>
      <c r="T97" s="93">
        <f t="shared" si="49"/>
        <v>168148.01372706279</v>
      </c>
    </row>
    <row r="98" spans="1:20">
      <c r="A98" s="28">
        <v>42</v>
      </c>
      <c r="B98" s="13"/>
      <c r="C98" s="28"/>
      <c r="D98" s="79"/>
      <c r="E98" s="79"/>
      <c r="F98" s="79"/>
      <c r="G98" s="79"/>
      <c r="H98" s="79"/>
      <c r="I98" s="79"/>
      <c r="J98" s="79"/>
      <c r="K98" s="79"/>
      <c r="L98" s="79"/>
      <c r="M98" s="79"/>
      <c r="N98" s="79"/>
      <c r="O98" s="79"/>
    </row>
    <row r="99" spans="1:20" ht="26.5">
      <c r="A99" s="75">
        <v>43</v>
      </c>
      <c r="B99" s="98" t="s">
        <v>101</v>
      </c>
      <c r="C99" s="75" t="str">
        <f t="shared" ref="C99" si="50">C53</f>
        <v>Σ((37), (38), (40))</v>
      </c>
      <c r="D99" s="99">
        <f>D93+D94+D96</f>
        <v>23973.474389586241</v>
      </c>
      <c r="E99" s="99">
        <f>D99+E93+E94+E96</f>
        <v>93864.702469619369</v>
      </c>
      <c r="F99" s="99">
        <f t="shared" ref="F99:N99" si="51">E99+F93+F94+F96</f>
        <v>168148.01372706279</v>
      </c>
      <c r="G99" s="99">
        <f t="shared" si="51"/>
        <v>168148.01372706279</v>
      </c>
      <c r="H99" s="99">
        <f t="shared" si="51"/>
        <v>168148.01372706279</v>
      </c>
      <c r="I99" s="99">
        <f t="shared" si="51"/>
        <v>168148.01372706279</v>
      </c>
      <c r="J99" s="99">
        <f t="shared" si="51"/>
        <v>168148.01372706279</v>
      </c>
      <c r="K99" s="99">
        <f t="shared" si="51"/>
        <v>168148.01372706279</v>
      </c>
      <c r="L99" s="99">
        <f t="shared" si="51"/>
        <v>168148.01372706279</v>
      </c>
      <c r="M99" s="99">
        <f t="shared" si="51"/>
        <v>168148.01372706279</v>
      </c>
      <c r="N99" s="99">
        <f t="shared" si="51"/>
        <v>168148.01372706279</v>
      </c>
      <c r="O99" s="99">
        <f>N99+O93+O94+O96</f>
        <v>168148.01372706279</v>
      </c>
    </row>
    <row r="100" spans="1:20" ht="14.5" customHeight="1">
      <c r="A100" s="28"/>
      <c r="B100" s="13"/>
      <c r="C100" s="75"/>
      <c r="D100" s="99"/>
      <c r="E100" s="99"/>
      <c r="F100" s="99"/>
      <c r="G100" s="99"/>
      <c r="H100" s="99"/>
      <c r="I100" s="99"/>
      <c r="J100" s="99"/>
      <c r="K100" s="99"/>
      <c r="L100" s="99"/>
      <c r="M100" s="99"/>
      <c r="N100" s="99"/>
      <c r="O100" s="99"/>
    </row>
    <row r="101" spans="1:20" ht="26.5">
      <c r="A101" s="75">
        <v>44</v>
      </c>
      <c r="B101" s="100" t="s">
        <v>102</v>
      </c>
      <c r="C101" s="64" t="str">
        <f>"Res line("&amp;A$53&amp;") +Non-Res line ("&amp;A99&amp;")"</f>
        <v>Res line(43) +Non-Res line (43)</v>
      </c>
      <c r="D101" s="101">
        <f>D53+D99</f>
        <v>153299.59254047176</v>
      </c>
      <c r="E101" s="101">
        <f>E53+E99</f>
        <v>950421.02141359798</v>
      </c>
      <c r="F101" s="101">
        <f t="shared" ref="F101:O101" si="52">F53+F99</f>
        <v>1538999.7572616776</v>
      </c>
      <c r="G101" s="101">
        <f t="shared" si="52"/>
        <v>1538999.7572616776</v>
      </c>
      <c r="H101" s="101">
        <f t="shared" si="52"/>
        <v>1538999.7572616776</v>
      </c>
      <c r="I101" s="101">
        <f t="shared" si="52"/>
        <v>1538999.7572616776</v>
      </c>
      <c r="J101" s="101">
        <f t="shared" si="52"/>
        <v>1538999.7572616776</v>
      </c>
      <c r="K101" s="101">
        <f t="shared" si="52"/>
        <v>1538999.7572616776</v>
      </c>
      <c r="L101" s="101">
        <f t="shared" si="52"/>
        <v>1538999.7572616776</v>
      </c>
      <c r="M101" s="101">
        <f t="shared" si="52"/>
        <v>1538999.7572616776</v>
      </c>
      <c r="N101" s="101">
        <f t="shared" si="52"/>
        <v>1538999.7572616776</v>
      </c>
      <c r="O101" s="101">
        <f t="shared" si="52"/>
        <v>1538999.7572616776</v>
      </c>
    </row>
  </sheetData>
  <pageMargins left="0.7" right="0.7" top="0.75" bottom="0.75" header="0.3" footer="0.3"/>
  <pageSetup scale="79" firstPageNumber="6" orientation="portrait" useFirstPageNumber="1" r:id="rId1"/>
  <headerFooter>
    <oddHeader>&amp;CAvista Corporation Fixed Cost Adjustment Mechanism
Idaho Jurisdiction
Quarterly Report for 1st Quarter 2016</oddHeader>
    <oddFooter>&amp;C&amp;F / &amp;A&amp;RPage &amp;P of ?</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6"/>
  <sheetViews>
    <sheetView topLeftCell="A187" zoomScaleNormal="100" zoomScaleSheetLayoutView="82" workbookViewId="0">
      <selection activeCell="E8" sqref="E8"/>
    </sheetView>
  </sheetViews>
  <sheetFormatPr defaultRowHeight="14.5"/>
  <cols>
    <col min="1" max="1" width="7.26953125" customWidth="1"/>
    <col min="2" max="2" width="36.1796875" customWidth="1"/>
    <col min="3" max="3" width="6.26953125" customWidth="1"/>
    <col min="4" max="6" width="13.1796875" customWidth="1"/>
    <col min="7" max="7" width="13.453125" customWidth="1"/>
    <col min="8" max="8" width="10.08984375" bestFit="1" customWidth="1"/>
    <col min="9" max="10" width="14" bestFit="1" customWidth="1"/>
    <col min="11" max="11" width="11.1796875" bestFit="1" customWidth="1"/>
    <col min="12" max="13" width="11.453125" customWidth="1"/>
  </cols>
  <sheetData>
    <row r="1" spans="1:9" ht="15.5">
      <c r="A1" s="218" t="s">
        <v>31</v>
      </c>
      <c r="B1" s="218"/>
      <c r="C1" s="218"/>
      <c r="D1" s="218"/>
      <c r="E1" s="218"/>
      <c r="F1" s="218"/>
      <c r="G1" s="218"/>
    </row>
    <row r="3" spans="1:9">
      <c r="A3" s="15" t="s">
        <v>115</v>
      </c>
      <c r="B3" s="31"/>
      <c r="C3" s="174" t="s">
        <v>116</v>
      </c>
      <c r="D3" s="31"/>
      <c r="E3" s="212"/>
      <c r="F3" s="212"/>
      <c r="G3" s="212"/>
    </row>
    <row r="4" spans="1:9" ht="17" customHeight="1">
      <c r="A4" s="31"/>
      <c r="B4" s="31"/>
      <c r="C4" s="31"/>
      <c r="D4" s="31"/>
      <c r="E4" s="213"/>
      <c r="F4" s="213"/>
      <c r="G4" s="213"/>
    </row>
    <row r="5" spans="1:9" ht="26.5">
      <c r="A5" s="44" t="s">
        <v>32</v>
      </c>
      <c r="B5" s="45" t="s">
        <v>33</v>
      </c>
      <c r="C5" s="178" t="s">
        <v>34</v>
      </c>
      <c r="D5" s="44" t="s">
        <v>35</v>
      </c>
      <c r="E5" s="44" t="s">
        <v>36</v>
      </c>
      <c r="F5" s="44" t="s">
        <v>37</v>
      </c>
      <c r="G5" s="44" t="s">
        <v>38</v>
      </c>
    </row>
    <row r="6" spans="1:9" ht="14.5" customHeight="1">
      <c r="A6" s="179" t="s">
        <v>39</v>
      </c>
      <c r="B6" s="180" t="s">
        <v>40</v>
      </c>
      <c r="C6" s="181" t="s">
        <v>41</v>
      </c>
      <c r="D6" s="182" t="s">
        <v>161</v>
      </c>
      <c r="E6" s="183">
        <v>497683.97</v>
      </c>
      <c r="F6" s="184">
        <v>154244.18</v>
      </c>
      <c r="G6" s="183">
        <v>651928.15</v>
      </c>
      <c r="I6" s="130"/>
    </row>
    <row r="7" spans="1:9">
      <c r="A7" s="185"/>
      <c r="B7" s="180" t="s">
        <v>40</v>
      </c>
      <c r="C7" s="186"/>
      <c r="D7" s="182" t="s">
        <v>162</v>
      </c>
      <c r="E7" s="183">
        <v>651928.15</v>
      </c>
      <c r="F7" s="184">
        <v>-435506.78</v>
      </c>
      <c r="G7" s="183">
        <v>216421.37</v>
      </c>
      <c r="I7" s="130"/>
    </row>
    <row r="8" spans="1:9">
      <c r="A8" s="185"/>
      <c r="B8" s="180" t="s">
        <v>40</v>
      </c>
      <c r="C8" s="187"/>
      <c r="D8" s="182" t="s">
        <v>163</v>
      </c>
      <c r="E8" s="183">
        <v>216421.37</v>
      </c>
      <c r="F8" s="184">
        <v>-1435365.06</v>
      </c>
      <c r="G8" s="183">
        <v>-1218943.69</v>
      </c>
      <c r="H8" s="121"/>
      <c r="I8" s="130"/>
    </row>
    <row r="9" spans="1:9">
      <c r="A9" s="185"/>
      <c r="B9" s="37"/>
      <c r="C9" s="188"/>
      <c r="D9" s="37"/>
      <c r="E9" s="39"/>
      <c r="F9" s="40">
        <f>SUM(F6:F8)</f>
        <v>-1716627.6600000001</v>
      </c>
      <c r="G9" s="39"/>
    </row>
    <row r="10" spans="1:9">
      <c r="A10" s="185"/>
      <c r="B10" s="180" t="s">
        <v>40</v>
      </c>
      <c r="C10" s="181" t="s">
        <v>42</v>
      </c>
      <c r="D10" s="182" t="s">
        <v>161</v>
      </c>
      <c r="E10" s="183">
        <v>-685704.5</v>
      </c>
      <c r="F10" s="184">
        <v>134056.57</v>
      </c>
      <c r="G10" s="183">
        <v>-551647.93000000005</v>
      </c>
      <c r="I10" s="130"/>
    </row>
    <row r="11" spans="1:9">
      <c r="A11" s="185"/>
      <c r="B11" s="180" t="s">
        <v>40</v>
      </c>
      <c r="C11" s="186"/>
      <c r="D11" s="182" t="s">
        <v>162</v>
      </c>
      <c r="E11" s="183">
        <v>-551647.93000000005</v>
      </c>
      <c r="F11" s="184">
        <v>105103.27</v>
      </c>
      <c r="G11" s="183">
        <v>-446544.66</v>
      </c>
      <c r="I11" s="130"/>
    </row>
    <row r="12" spans="1:9">
      <c r="A12" s="185"/>
      <c r="B12" s="180" t="s">
        <v>40</v>
      </c>
      <c r="C12" s="187"/>
      <c r="D12" s="182" t="s">
        <v>163</v>
      </c>
      <c r="E12" s="183">
        <v>-446544.66</v>
      </c>
      <c r="F12" s="184">
        <v>103253.44</v>
      </c>
      <c r="G12" s="183">
        <v>-343291.22</v>
      </c>
      <c r="I12" s="130"/>
    </row>
    <row r="13" spans="1:9">
      <c r="A13" s="189"/>
      <c r="B13" s="37"/>
      <c r="C13" s="190"/>
      <c r="D13" s="37"/>
      <c r="E13" s="39"/>
      <c r="F13" s="40">
        <f>SUM(F10:F12)</f>
        <v>342413.28</v>
      </c>
      <c r="G13" s="39"/>
      <c r="I13" s="121"/>
    </row>
    <row r="14" spans="1:9" ht="14.5" customHeight="1">
      <c r="A14" s="41"/>
      <c r="B14" s="191"/>
      <c r="C14" s="41"/>
      <c r="D14" s="41"/>
      <c r="E14" s="42"/>
      <c r="F14" s="43">
        <f>F9+F13</f>
        <v>-1374214.3800000001</v>
      </c>
      <c r="G14" s="42"/>
    </row>
    <row r="15" spans="1:9" ht="14.5" customHeight="1">
      <c r="A15" s="179" t="s">
        <v>43</v>
      </c>
      <c r="B15" s="180" t="s">
        <v>44</v>
      </c>
      <c r="C15" s="192" t="s">
        <v>41</v>
      </c>
      <c r="D15" s="182" t="s">
        <v>161</v>
      </c>
      <c r="E15" s="183">
        <v>781641.83</v>
      </c>
      <c r="F15" s="184">
        <v>101872.5</v>
      </c>
      <c r="G15" s="183">
        <v>883514.33</v>
      </c>
      <c r="I15" s="130"/>
    </row>
    <row r="16" spans="1:9">
      <c r="A16" s="185"/>
      <c r="B16" s="180" t="s">
        <v>44</v>
      </c>
      <c r="C16" s="193"/>
      <c r="D16" s="182" t="s">
        <v>162</v>
      </c>
      <c r="E16" s="183">
        <v>883514.33</v>
      </c>
      <c r="F16" s="184">
        <v>-391499.71</v>
      </c>
      <c r="G16" s="183">
        <v>492014.62</v>
      </c>
      <c r="I16" s="130"/>
    </row>
    <row r="17" spans="1:9">
      <c r="A17" s="185"/>
      <c r="B17" s="180" t="s">
        <v>44</v>
      </c>
      <c r="C17" s="194"/>
      <c r="D17" s="182" t="s">
        <v>163</v>
      </c>
      <c r="E17" s="183">
        <v>492014.62</v>
      </c>
      <c r="F17" s="184">
        <v>-790382.19</v>
      </c>
      <c r="G17" s="183">
        <v>-298367.57</v>
      </c>
      <c r="I17" s="130"/>
    </row>
    <row r="18" spans="1:9">
      <c r="A18" s="185"/>
      <c r="B18" s="37"/>
      <c r="C18" s="38"/>
      <c r="D18" s="37"/>
      <c r="E18" s="39"/>
      <c r="F18" s="40">
        <f>SUM(F15:F17)</f>
        <v>-1080009.3999999999</v>
      </c>
      <c r="G18" s="39"/>
    </row>
    <row r="19" spans="1:9">
      <c r="A19" s="185"/>
      <c r="B19" s="180" t="s">
        <v>44</v>
      </c>
      <c r="C19" s="192" t="s">
        <v>42</v>
      </c>
      <c r="D19" s="182" t="s">
        <v>161</v>
      </c>
      <c r="E19" s="183">
        <v>-195775.88</v>
      </c>
      <c r="F19" s="184">
        <v>-13727.33</v>
      </c>
      <c r="G19" s="183">
        <v>-209503.21</v>
      </c>
      <c r="I19" s="130"/>
    </row>
    <row r="20" spans="1:9">
      <c r="A20" s="185"/>
      <c r="B20" s="180" t="s">
        <v>44</v>
      </c>
      <c r="C20" s="193"/>
      <c r="D20" s="182" t="s">
        <v>162</v>
      </c>
      <c r="E20" s="183">
        <v>-209503.21</v>
      </c>
      <c r="F20" s="184">
        <v>4492.17</v>
      </c>
      <c r="G20" s="183">
        <v>-205011.04</v>
      </c>
      <c r="I20" s="130"/>
    </row>
    <row r="21" spans="1:9">
      <c r="A21" s="185"/>
      <c r="B21" s="180" t="s">
        <v>44</v>
      </c>
      <c r="C21" s="194"/>
      <c r="D21" s="182" t="s">
        <v>163</v>
      </c>
      <c r="E21" s="183">
        <v>-205011.04</v>
      </c>
      <c r="F21" s="184">
        <v>23499.77</v>
      </c>
      <c r="G21" s="183">
        <v>-181511.27</v>
      </c>
      <c r="I21" s="130"/>
    </row>
    <row r="22" spans="1:9">
      <c r="A22" s="189"/>
      <c r="B22" s="37"/>
      <c r="C22" s="38"/>
      <c r="D22" s="37"/>
      <c r="E22" s="39"/>
      <c r="F22" s="40">
        <f>SUM(F19:F21)</f>
        <v>14264.61</v>
      </c>
      <c r="G22" s="39"/>
    </row>
    <row r="23" spans="1:9">
      <c r="A23" s="41"/>
      <c r="B23" s="191"/>
      <c r="C23" s="41"/>
      <c r="D23" s="41"/>
      <c r="E23" s="42"/>
      <c r="F23" s="43">
        <f>F18+F22</f>
        <v>-1065744.7899999998</v>
      </c>
      <c r="G23" s="42"/>
    </row>
    <row r="24" spans="1:9">
      <c r="A24" s="195"/>
      <c r="B24" s="195"/>
      <c r="C24" s="195"/>
      <c r="D24" s="195"/>
      <c r="E24" s="196"/>
      <c r="F24" s="197"/>
      <c r="G24" s="196"/>
    </row>
    <row r="25" spans="1:9" s="31" customFormat="1">
      <c r="A25" s="198" t="s">
        <v>115</v>
      </c>
      <c r="B25" s="195"/>
      <c r="C25" s="199" t="s">
        <v>135</v>
      </c>
      <c r="D25" s="195"/>
      <c r="E25" s="196"/>
      <c r="F25" s="197"/>
      <c r="G25" s="196"/>
    </row>
    <row r="26" spans="1:9" s="31" customFormat="1">
      <c r="A26" s="195"/>
      <c r="B26" s="195"/>
      <c r="C26" s="195"/>
      <c r="D26" s="195"/>
      <c r="E26" s="196"/>
      <c r="F26" s="197"/>
      <c r="G26" s="196"/>
    </row>
    <row r="27" spans="1:9" s="31" customFormat="1" ht="26.5">
      <c r="A27" s="44" t="s">
        <v>32</v>
      </c>
      <c r="B27" s="45" t="s">
        <v>33</v>
      </c>
      <c r="C27" s="178" t="s">
        <v>34</v>
      </c>
      <c r="D27" s="44" t="s">
        <v>35</v>
      </c>
      <c r="E27" s="44" t="s">
        <v>36</v>
      </c>
      <c r="F27" s="44" t="s">
        <v>37</v>
      </c>
      <c r="G27" s="44" t="s">
        <v>38</v>
      </c>
    </row>
    <row r="28" spans="1:9" s="31" customFormat="1">
      <c r="A28" s="179" t="s">
        <v>131</v>
      </c>
      <c r="B28" s="180" t="s">
        <v>132</v>
      </c>
      <c r="C28" s="181" t="s">
        <v>41</v>
      </c>
      <c r="D28" s="182" t="s">
        <v>161</v>
      </c>
      <c r="E28" s="183">
        <v>-1016010.35</v>
      </c>
      <c r="F28" s="184">
        <v>-846.68</v>
      </c>
      <c r="G28" s="183">
        <v>-1016857.03</v>
      </c>
    </row>
    <row r="29" spans="1:9" s="31" customFormat="1">
      <c r="A29" s="185"/>
      <c r="B29" s="180" t="s">
        <v>132</v>
      </c>
      <c r="C29" s="186"/>
      <c r="D29" s="182" t="s">
        <v>162</v>
      </c>
      <c r="E29" s="183">
        <v>-1016857.03</v>
      </c>
      <c r="F29" s="184">
        <v>-847.38</v>
      </c>
      <c r="G29" s="183">
        <v>-1017704.41</v>
      </c>
    </row>
    <row r="30" spans="1:9" s="31" customFormat="1">
      <c r="A30" s="185"/>
      <c r="B30" s="180" t="s">
        <v>132</v>
      </c>
      <c r="C30" s="187"/>
      <c r="D30" s="182" t="s">
        <v>163</v>
      </c>
      <c r="E30" s="183">
        <v>-1017704.41</v>
      </c>
      <c r="F30" s="184">
        <v>-848.09</v>
      </c>
      <c r="G30" s="183">
        <v>-1018552.5</v>
      </c>
    </row>
    <row r="31" spans="1:9" s="31" customFormat="1">
      <c r="A31" s="185"/>
      <c r="B31" s="37"/>
      <c r="C31" s="188"/>
      <c r="D31" s="37"/>
      <c r="E31" s="39"/>
      <c r="F31" s="40">
        <f>SUM(F28:F30)</f>
        <v>-2542.15</v>
      </c>
      <c r="G31" s="39"/>
    </row>
    <row r="32" spans="1:9" s="31" customFormat="1">
      <c r="A32" s="185"/>
      <c r="B32" s="180" t="s">
        <v>132</v>
      </c>
      <c r="C32" s="181" t="s">
        <v>42</v>
      </c>
      <c r="D32" s="182" t="s">
        <v>161</v>
      </c>
      <c r="E32" s="183">
        <v>36500.379999999997</v>
      </c>
      <c r="F32" s="184">
        <v>30.42</v>
      </c>
      <c r="G32" s="183">
        <v>36530.800000000003</v>
      </c>
    </row>
    <row r="33" spans="1:7" s="31" customFormat="1">
      <c r="A33" s="185"/>
      <c r="B33" s="180" t="s">
        <v>132</v>
      </c>
      <c r="C33" s="186"/>
      <c r="D33" s="182" t="s">
        <v>162</v>
      </c>
      <c r="E33" s="183">
        <v>36530.800000000003</v>
      </c>
      <c r="F33" s="184">
        <v>30.44</v>
      </c>
      <c r="G33" s="183">
        <v>36561.24</v>
      </c>
    </row>
    <row r="34" spans="1:7" s="31" customFormat="1">
      <c r="A34" s="185"/>
      <c r="B34" s="180" t="s">
        <v>132</v>
      </c>
      <c r="C34" s="187"/>
      <c r="D34" s="182" t="s">
        <v>163</v>
      </c>
      <c r="E34" s="183">
        <v>36561.24</v>
      </c>
      <c r="F34" s="184">
        <v>30.47</v>
      </c>
      <c r="G34" s="183">
        <v>36591.71</v>
      </c>
    </row>
    <row r="35" spans="1:7" s="31" customFormat="1">
      <c r="A35" s="189"/>
      <c r="B35" s="37"/>
      <c r="C35" s="190"/>
      <c r="D35" s="37"/>
      <c r="E35" s="39"/>
      <c r="F35" s="40">
        <f>SUM(F32:F34)</f>
        <v>91.33</v>
      </c>
      <c r="G35" s="39"/>
    </row>
    <row r="36" spans="1:7" s="31" customFormat="1">
      <c r="A36" s="41"/>
      <c r="B36" s="191"/>
      <c r="C36" s="41"/>
      <c r="D36" s="41"/>
      <c r="E36" s="42"/>
      <c r="F36" s="43">
        <f>F31+F35</f>
        <v>-2450.8200000000002</v>
      </c>
      <c r="G36" s="42"/>
    </row>
    <row r="37" spans="1:7" s="31" customFormat="1">
      <c r="A37" s="179" t="s">
        <v>133</v>
      </c>
      <c r="B37" s="180" t="s">
        <v>134</v>
      </c>
      <c r="C37" s="192" t="s">
        <v>41</v>
      </c>
      <c r="D37" s="182" t="s">
        <v>161</v>
      </c>
      <c r="E37" s="183">
        <v>2306771.9500000002</v>
      </c>
      <c r="F37" s="184">
        <v>1922.31</v>
      </c>
      <c r="G37" s="183">
        <v>2308694.2599999998</v>
      </c>
    </row>
    <row r="38" spans="1:7" s="31" customFormat="1">
      <c r="A38" s="185"/>
      <c r="B38" s="180" t="s">
        <v>134</v>
      </c>
      <c r="C38" s="193"/>
      <c r="D38" s="182" t="s">
        <v>162</v>
      </c>
      <c r="E38" s="183">
        <v>2308694.2599999998</v>
      </c>
      <c r="F38" s="184">
        <v>1923.91</v>
      </c>
      <c r="G38" s="183">
        <v>2310618.17</v>
      </c>
    </row>
    <row r="39" spans="1:7" s="31" customFormat="1">
      <c r="A39" s="185"/>
      <c r="B39" s="180" t="s">
        <v>134</v>
      </c>
      <c r="C39" s="194"/>
      <c r="D39" s="182" t="s">
        <v>163</v>
      </c>
      <c r="E39" s="183">
        <v>2310618.17</v>
      </c>
      <c r="F39" s="184">
        <v>1925.52</v>
      </c>
      <c r="G39" s="183">
        <v>2312543.69</v>
      </c>
    </row>
    <row r="40" spans="1:7" s="31" customFormat="1">
      <c r="A40" s="185"/>
      <c r="B40" s="37"/>
      <c r="C40" s="38"/>
      <c r="D40" s="37"/>
      <c r="E40" s="39"/>
      <c r="F40" s="40">
        <f>SUM(F37:F39)</f>
        <v>5771.74</v>
      </c>
      <c r="G40" s="39"/>
    </row>
    <row r="41" spans="1:7" s="31" customFormat="1">
      <c r="A41" s="185"/>
      <c r="B41" s="180" t="s">
        <v>134</v>
      </c>
      <c r="C41" s="192" t="s">
        <v>42</v>
      </c>
      <c r="D41" s="182" t="s">
        <v>161</v>
      </c>
      <c r="E41" s="183">
        <v>57789.07</v>
      </c>
      <c r="F41" s="184">
        <v>48.16</v>
      </c>
      <c r="G41" s="183">
        <v>57837.23</v>
      </c>
    </row>
    <row r="42" spans="1:7" s="31" customFormat="1">
      <c r="A42" s="185"/>
      <c r="B42" s="180" t="s">
        <v>134</v>
      </c>
      <c r="C42" s="193"/>
      <c r="D42" s="182" t="s">
        <v>162</v>
      </c>
      <c r="E42" s="183">
        <v>57837.23</v>
      </c>
      <c r="F42" s="184">
        <v>48.2</v>
      </c>
      <c r="G42" s="183">
        <v>57885.43</v>
      </c>
    </row>
    <row r="43" spans="1:7" s="31" customFormat="1">
      <c r="A43" s="185"/>
      <c r="B43" s="180" t="s">
        <v>134</v>
      </c>
      <c r="C43" s="194"/>
      <c r="D43" s="182" t="s">
        <v>163</v>
      </c>
      <c r="E43" s="183">
        <v>57885.43</v>
      </c>
      <c r="F43" s="184">
        <v>48.24</v>
      </c>
      <c r="G43" s="183">
        <v>57933.67</v>
      </c>
    </row>
    <row r="44" spans="1:7" s="31" customFormat="1">
      <c r="A44" s="189"/>
      <c r="B44" s="37"/>
      <c r="C44" s="38"/>
      <c r="D44" s="37"/>
      <c r="E44" s="39"/>
      <c r="F44" s="40">
        <f>SUM(F41:F43)</f>
        <v>144.6</v>
      </c>
      <c r="G44" s="39"/>
    </row>
    <row r="45" spans="1:7" s="31" customFormat="1">
      <c r="A45" s="41"/>
      <c r="B45" s="191"/>
      <c r="C45" s="41"/>
      <c r="D45" s="41"/>
      <c r="E45" s="42"/>
      <c r="F45" s="43">
        <f>F40+F44</f>
        <v>5916.34</v>
      </c>
      <c r="G45" s="42"/>
    </row>
    <row r="46" spans="1:7" s="31" customFormat="1">
      <c r="A46" s="195"/>
      <c r="B46" s="195"/>
      <c r="C46" s="195"/>
      <c r="D46" s="195"/>
      <c r="E46" s="196"/>
      <c r="F46" s="197"/>
      <c r="G46" s="196"/>
    </row>
    <row r="47" spans="1:7" s="31" customFormat="1">
      <c r="A47" s="195"/>
      <c r="B47" s="200"/>
      <c r="C47" s="200" t="s">
        <v>138</v>
      </c>
      <c r="D47" s="200"/>
      <c r="E47" s="200"/>
      <c r="F47" s="200"/>
      <c r="G47" s="196"/>
    </row>
    <row r="48" spans="1:7" s="31" customFormat="1">
      <c r="A48" s="195"/>
      <c r="B48" s="195"/>
      <c r="C48" s="195"/>
      <c r="D48" s="195"/>
      <c r="E48" s="196" t="s">
        <v>142</v>
      </c>
      <c r="F48" s="197"/>
      <c r="G48" s="196"/>
    </row>
    <row r="49" spans="1:9" s="31" customFormat="1" ht="26.5">
      <c r="A49" s="44" t="s">
        <v>32</v>
      </c>
      <c r="B49" s="45" t="s">
        <v>33</v>
      </c>
      <c r="C49" s="178" t="s">
        <v>34</v>
      </c>
      <c r="D49" s="44" t="s">
        <v>35</v>
      </c>
      <c r="E49" s="44" t="s">
        <v>36</v>
      </c>
      <c r="F49" s="44" t="s">
        <v>37</v>
      </c>
      <c r="G49" s="44" t="s">
        <v>38</v>
      </c>
    </row>
    <row r="50" spans="1:9" s="31" customFormat="1">
      <c r="A50" s="179">
        <v>182328</v>
      </c>
      <c r="B50" s="180" t="s">
        <v>137</v>
      </c>
      <c r="C50" s="181" t="s">
        <v>41</v>
      </c>
      <c r="D50" s="182" t="s">
        <v>161</v>
      </c>
      <c r="E50" s="183">
        <v>111767.85</v>
      </c>
      <c r="F50" s="184">
        <v>-25539.85</v>
      </c>
      <c r="G50" s="183">
        <v>86228</v>
      </c>
      <c r="I50" s="130"/>
    </row>
    <row r="51" spans="1:9" s="31" customFormat="1">
      <c r="A51" s="185"/>
      <c r="B51" s="180" t="s">
        <v>137</v>
      </c>
      <c r="C51" s="186"/>
      <c r="D51" s="182" t="s">
        <v>162</v>
      </c>
      <c r="E51" s="183">
        <v>86228</v>
      </c>
      <c r="F51" s="184">
        <v>-23259.279999999999</v>
      </c>
      <c r="G51" s="183">
        <v>62968.72</v>
      </c>
      <c r="I51" s="130"/>
    </row>
    <row r="52" spans="1:9" s="31" customFormat="1">
      <c r="A52" s="185"/>
      <c r="B52" s="180" t="s">
        <v>137</v>
      </c>
      <c r="C52" s="187"/>
      <c r="D52" s="182" t="s">
        <v>163</v>
      </c>
      <c r="E52" s="183">
        <v>62968.72</v>
      </c>
      <c r="F52" s="184">
        <v>-27046.05</v>
      </c>
      <c r="G52" s="183">
        <v>35922.67</v>
      </c>
      <c r="I52" s="130"/>
    </row>
    <row r="53" spans="1:9" s="31" customFormat="1">
      <c r="A53" s="185"/>
      <c r="B53" s="131"/>
      <c r="C53" s="188"/>
      <c r="D53" s="37"/>
      <c r="E53" s="39"/>
      <c r="F53" s="40">
        <f>SUM(F50:F52)</f>
        <v>-75845.179999999993</v>
      </c>
      <c r="G53" s="39"/>
    </row>
    <row r="54" spans="1:9" s="31" customFormat="1">
      <c r="A54" s="185"/>
      <c r="B54" s="180" t="s">
        <v>137</v>
      </c>
      <c r="C54" s="181" t="s">
        <v>42</v>
      </c>
      <c r="D54" s="182" t="s">
        <v>161</v>
      </c>
      <c r="E54" s="183">
        <v>0</v>
      </c>
      <c r="F54" s="184">
        <v>0</v>
      </c>
      <c r="G54" s="183">
        <v>0</v>
      </c>
    </row>
    <row r="55" spans="1:9" s="31" customFormat="1">
      <c r="A55" s="185"/>
      <c r="B55" s="180" t="s">
        <v>137</v>
      </c>
      <c r="C55" s="186"/>
      <c r="D55" s="182" t="s">
        <v>162</v>
      </c>
      <c r="E55" s="183">
        <v>0</v>
      </c>
      <c r="F55" s="184">
        <v>0</v>
      </c>
      <c r="G55" s="183">
        <v>0</v>
      </c>
      <c r="I55" s="130"/>
    </row>
    <row r="56" spans="1:9" s="31" customFormat="1">
      <c r="A56" s="185"/>
      <c r="B56" s="180" t="s">
        <v>137</v>
      </c>
      <c r="C56" s="187"/>
      <c r="D56" s="182" t="s">
        <v>163</v>
      </c>
      <c r="E56" s="183">
        <v>0</v>
      </c>
      <c r="F56" s="184">
        <v>0</v>
      </c>
      <c r="G56" s="183">
        <v>0</v>
      </c>
      <c r="I56" s="130"/>
    </row>
    <row r="57" spans="1:9" s="31" customFormat="1">
      <c r="A57" s="189"/>
      <c r="B57" s="37"/>
      <c r="C57" s="190"/>
      <c r="D57" s="37"/>
      <c r="E57" s="39"/>
      <c r="F57" s="40">
        <f>SUM(F54:F56)</f>
        <v>0</v>
      </c>
      <c r="G57" s="39"/>
    </row>
    <row r="58" spans="1:9" s="31" customFormat="1">
      <c r="A58" s="41"/>
      <c r="B58" s="191"/>
      <c r="C58" s="41"/>
      <c r="D58" s="41"/>
      <c r="E58" s="42"/>
      <c r="F58" s="43">
        <f>F53+F57</f>
        <v>-75845.179999999993</v>
      </c>
      <c r="G58" s="42"/>
    </row>
    <row r="59" spans="1:9" s="31" customFormat="1">
      <c r="A59" s="179">
        <v>182338</v>
      </c>
      <c r="B59" s="180" t="s">
        <v>134</v>
      </c>
      <c r="C59" s="192" t="s">
        <v>41</v>
      </c>
      <c r="D59" s="182" t="s">
        <v>161</v>
      </c>
      <c r="E59" s="183">
        <v>77976.27</v>
      </c>
      <c r="F59" s="184">
        <v>-8810.09</v>
      </c>
      <c r="G59" s="183">
        <v>69166.179999999993</v>
      </c>
      <c r="I59" s="130"/>
    </row>
    <row r="60" spans="1:9" s="31" customFormat="1">
      <c r="A60" s="185"/>
      <c r="B60" s="180" t="s">
        <v>134</v>
      </c>
      <c r="C60" s="193"/>
      <c r="D60" s="182" t="s">
        <v>162</v>
      </c>
      <c r="E60" s="183">
        <v>69166.179999999993</v>
      </c>
      <c r="F60" s="184">
        <v>-9602.2800000000007</v>
      </c>
      <c r="G60" s="183">
        <v>59563.9</v>
      </c>
      <c r="I60" s="130"/>
    </row>
    <row r="61" spans="1:9" s="31" customFormat="1">
      <c r="A61" s="185"/>
      <c r="B61" s="180" t="s">
        <v>134</v>
      </c>
      <c r="C61" s="194"/>
      <c r="D61" s="182" t="s">
        <v>163</v>
      </c>
      <c r="E61" s="183">
        <v>59563.9</v>
      </c>
      <c r="F61" s="184">
        <v>-11024.52</v>
      </c>
      <c r="G61" s="183">
        <v>48539.38</v>
      </c>
      <c r="I61" s="130"/>
    </row>
    <row r="62" spans="1:9" s="31" customFormat="1">
      <c r="A62" s="185"/>
      <c r="B62" s="37"/>
      <c r="C62" s="38"/>
      <c r="D62" s="37"/>
      <c r="E62" s="39"/>
      <c r="F62" s="40">
        <f>SUM(F59:F61)</f>
        <v>-29436.890000000003</v>
      </c>
      <c r="G62" s="39"/>
    </row>
    <row r="63" spans="1:9" s="31" customFormat="1">
      <c r="A63" s="185"/>
      <c r="B63" s="180" t="s">
        <v>134</v>
      </c>
      <c r="C63" s="192" t="s">
        <v>42</v>
      </c>
      <c r="D63" s="182" t="s">
        <v>161</v>
      </c>
      <c r="E63" s="183">
        <v>0</v>
      </c>
      <c r="F63" s="184">
        <v>0</v>
      </c>
      <c r="G63" s="183">
        <v>0</v>
      </c>
    </row>
    <row r="64" spans="1:9" s="31" customFormat="1">
      <c r="A64" s="185"/>
      <c r="B64" s="180" t="s">
        <v>134</v>
      </c>
      <c r="C64" s="193"/>
      <c r="D64" s="182" t="s">
        <v>162</v>
      </c>
      <c r="E64" s="183">
        <v>0</v>
      </c>
      <c r="F64" s="184">
        <v>0</v>
      </c>
      <c r="G64" s="183">
        <v>0</v>
      </c>
      <c r="I64" s="130"/>
    </row>
    <row r="65" spans="1:9" s="31" customFormat="1">
      <c r="A65" s="185"/>
      <c r="B65" s="180" t="s">
        <v>134</v>
      </c>
      <c r="C65" s="194"/>
      <c r="D65" s="182" t="s">
        <v>163</v>
      </c>
      <c r="E65" s="183">
        <v>0</v>
      </c>
      <c r="F65" s="184">
        <v>0</v>
      </c>
      <c r="G65" s="183">
        <v>0</v>
      </c>
      <c r="I65" s="130"/>
    </row>
    <row r="66" spans="1:9" s="31" customFormat="1">
      <c r="A66" s="189"/>
      <c r="B66" s="37"/>
      <c r="C66" s="38"/>
      <c r="D66" s="37"/>
      <c r="E66" s="39"/>
      <c r="F66" s="40">
        <f>SUM(F63:F65)</f>
        <v>0</v>
      </c>
      <c r="G66" s="39"/>
    </row>
    <row r="67" spans="1:9" s="31" customFormat="1">
      <c r="A67" s="41"/>
      <c r="B67" s="191"/>
      <c r="C67" s="41"/>
      <c r="D67" s="41"/>
      <c r="E67" s="42"/>
      <c r="F67" s="43">
        <f>F62+F66</f>
        <v>-29436.890000000003</v>
      </c>
      <c r="G67" s="42"/>
    </row>
    <row r="68" spans="1:9" s="31" customFormat="1">
      <c r="A68" s="195"/>
      <c r="B68" s="195"/>
      <c r="C68" s="195"/>
      <c r="D68" s="195"/>
      <c r="E68" s="196" t="s">
        <v>143</v>
      </c>
      <c r="F68" s="197"/>
      <c r="G68" s="196"/>
    </row>
    <row r="69" spans="1:9" s="31" customFormat="1" ht="26.5">
      <c r="A69" s="44" t="s">
        <v>32</v>
      </c>
      <c r="B69" s="45" t="s">
        <v>33</v>
      </c>
      <c r="C69" s="178" t="s">
        <v>34</v>
      </c>
      <c r="D69" s="44" t="s">
        <v>35</v>
      </c>
      <c r="E69" s="44" t="s">
        <v>36</v>
      </c>
      <c r="F69" s="44" t="s">
        <v>37</v>
      </c>
      <c r="G69" s="44" t="s">
        <v>38</v>
      </c>
    </row>
    <row r="70" spans="1:9" s="31" customFormat="1">
      <c r="A70" s="179">
        <v>254328</v>
      </c>
      <c r="B70" s="180" t="s">
        <v>144</v>
      </c>
      <c r="C70" s="181" t="s">
        <v>41</v>
      </c>
      <c r="D70" s="182" t="s">
        <v>161</v>
      </c>
      <c r="E70" s="183">
        <v>0</v>
      </c>
      <c r="F70" s="184">
        <v>0</v>
      </c>
      <c r="G70" s="183">
        <v>0</v>
      </c>
    </row>
    <row r="71" spans="1:9" s="31" customFormat="1">
      <c r="A71" s="185"/>
      <c r="B71" s="180" t="s">
        <v>144</v>
      </c>
      <c r="C71" s="186"/>
      <c r="D71" s="182" t="s">
        <v>162</v>
      </c>
      <c r="E71" s="183">
        <v>0</v>
      </c>
      <c r="F71" s="184">
        <v>0</v>
      </c>
      <c r="G71" s="183">
        <v>0</v>
      </c>
    </row>
    <row r="72" spans="1:9" s="31" customFormat="1">
      <c r="A72" s="185"/>
      <c r="B72" s="180" t="s">
        <v>144</v>
      </c>
      <c r="C72" s="187"/>
      <c r="D72" s="182" t="s">
        <v>163</v>
      </c>
      <c r="E72" s="183">
        <v>0</v>
      </c>
      <c r="F72" s="184">
        <v>0</v>
      </c>
      <c r="G72" s="183">
        <v>0</v>
      </c>
    </row>
    <row r="73" spans="1:9" s="31" customFormat="1">
      <c r="A73" s="185"/>
      <c r="B73" s="131"/>
      <c r="C73" s="188"/>
      <c r="D73" s="37"/>
      <c r="E73" s="39"/>
      <c r="F73" s="40">
        <f>SUM(F70:F72)</f>
        <v>0</v>
      </c>
      <c r="G73" s="39"/>
    </row>
    <row r="74" spans="1:9" s="31" customFormat="1">
      <c r="A74" s="185"/>
      <c r="B74" s="180" t="s">
        <v>144</v>
      </c>
      <c r="C74" s="181" t="s">
        <v>42</v>
      </c>
      <c r="D74" s="182" t="s">
        <v>161</v>
      </c>
      <c r="E74" s="183">
        <v>-141305.92000000001</v>
      </c>
      <c r="F74" s="184">
        <v>36843.19</v>
      </c>
      <c r="G74" s="183">
        <v>-104462.73</v>
      </c>
    </row>
    <row r="75" spans="1:9" s="31" customFormat="1">
      <c r="A75" s="185"/>
      <c r="B75" s="180" t="s">
        <v>144</v>
      </c>
      <c r="C75" s="186"/>
      <c r="D75" s="182" t="s">
        <v>162</v>
      </c>
      <c r="E75" s="183">
        <v>-104462.73</v>
      </c>
      <c r="F75" s="184">
        <v>19508.98</v>
      </c>
      <c r="G75" s="183">
        <v>-84953.75</v>
      </c>
    </row>
    <row r="76" spans="1:9" s="31" customFormat="1">
      <c r="A76" s="185"/>
      <c r="B76" s="180" t="s">
        <v>144</v>
      </c>
      <c r="C76" s="187"/>
      <c r="D76" s="182" t="s">
        <v>163</v>
      </c>
      <c r="E76" s="183">
        <v>-84953.75</v>
      </c>
      <c r="F76" s="184">
        <v>11639.53</v>
      </c>
      <c r="G76" s="183">
        <v>-73314.22</v>
      </c>
    </row>
    <row r="77" spans="1:9" s="31" customFormat="1">
      <c r="A77" s="189"/>
      <c r="B77" s="37"/>
      <c r="C77" s="190"/>
      <c r="D77" s="37"/>
      <c r="E77" s="39"/>
      <c r="F77" s="40">
        <f>SUM(F74:F76)</f>
        <v>67991.7</v>
      </c>
      <c r="G77" s="39"/>
    </row>
    <row r="78" spans="1:9" s="31" customFormat="1">
      <c r="A78" s="41"/>
      <c r="B78" s="191"/>
      <c r="C78" s="41"/>
      <c r="D78" s="41"/>
      <c r="E78" s="42"/>
      <c r="F78" s="43">
        <f>F73+F77</f>
        <v>67991.7</v>
      </c>
      <c r="G78" s="42"/>
    </row>
    <row r="79" spans="1:9" s="31" customFormat="1">
      <c r="A79" s="179">
        <v>254338</v>
      </c>
      <c r="B79" s="180" t="s">
        <v>145</v>
      </c>
      <c r="C79" s="192" t="s">
        <v>41</v>
      </c>
      <c r="D79" s="182" t="s">
        <v>161</v>
      </c>
      <c r="E79" s="183">
        <v>0</v>
      </c>
      <c r="F79" s="184">
        <v>0</v>
      </c>
      <c r="G79" s="183">
        <v>0</v>
      </c>
    </row>
    <row r="80" spans="1:9" s="31" customFormat="1">
      <c r="A80" s="185"/>
      <c r="B80" s="180" t="s">
        <v>145</v>
      </c>
      <c r="C80" s="193"/>
      <c r="D80" s="182" t="s">
        <v>162</v>
      </c>
      <c r="E80" s="183">
        <v>0</v>
      </c>
      <c r="F80" s="184">
        <v>0</v>
      </c>
      <c r="G80" s="183">
        <v>0</v>
      </c>
    </row>
    <row r="81" spans="1:12" s="31" customFormat="1">
      <c r="A81" s="185"/>
      <c r="B81" s="180" t="s">
        <v>145</v>
      </c>
      <c r="C81" s="194"/>
      <c r="D81" s="182" t="s">
        <v>163</v>
      </c>
      <c r="E81" s="183">
        <v>0</v>
      </c>
      <c r="F81" s="184">
        <v>0</v>
      </c>
      <c r="G81" s="183">
        <v>0</v>
      </c>
    </row>
    <row r="82" spans="1:12" s="31" customFormat="1">
      <c r="A82" s="185"/>
      <c r="B82" s="37"/>
      <c r="C82" s="38"/>
      <c r="D82" s="37"/>
      <c r="E82" s="39"/>
      <c r="F82" s="40">
        <f>SUM(F79:F81)</f>
        <v>0</v>
      </c>
      <c r="G82" s="39"/>
    </row>
    <row r="83" spans="1:12" s="31" customFormat="1">
      <c r="A83" s="185"/>
      <c r="B83" s="180" t="s">
        <v>145</v>
      </c>
      <c r="C83" s="192" t="s">
        <v>42</v>
      </c>
      <c r="D83" s="182" t="s">
        <v>161</v>
      </c>
      <c r="E83" s="183">
        <v>-73575.66</v>
      </c>
      <c r="F83" s="184">
        <v>12482.84</v>
      </c>
      <c r="G83" s="183">
        <v>-61092.82</v>
      </c>
    </row>
    <row r="84" spans="1:12" s="31" customFormat="1">
      <c r="A84" s="185"/>
      <c r="B84" s="180" t="s">
        <v>145</v>
      </c>
      <c r="C84" s="193"/>
      <c r="D84" s="182" t="s">
        <v>162</v>
      </c>
      <c r="E84" s="183">
        <v>-61092.82</v>
      </c>
      <c r="F84" s="184">
        <v>10422.58</v>
      </c>
      <c r="G84" s="183">
        <v>-50670.239999999998</v>
      </c>
    </row>
    <row r="85" spans="1:12" s="31" customFormat="1">
      <c r="A85" s="185"/>
      <c r="B85" s="180" t="s">
        <v>145</v>
      </c>
      <c r="C85" s="194"/>
      <c r="D85" s="182" t="s">
        <v>163</v>
      </c>
      <c r="E85" s="183">
        <v>-50670.239999999998</v>
      </c>
      <c r="F85" s="184">
        <v>7816.11</v>
      </c>
      <c r="G85" s="183">
        <v>-42854.13</v>
      </c>
    </row>
    <row r="86" spans="1:12" s="31" customFormat="1">
      <c r="A86" s="189"/>
      <c r="B86" s="37"/>
      <c r="C86" s="38"/>
      <c r="D86" s="37"/>
      <c r="E86" s="39"/>
      <c r="F86" s="40">
        <f>SUM(F83:F85)</f>
        <v>30721.53</v>
      </c>
      <c r="G86" s="39"/>
    </row>
    <row r="87" spans="1:12" s="31" customFormat="1">
      <c r="A87" s="41"/>
      <c r="B87" s="191"/>
      <c r="C87" s="41"/>
      <c r="D87" s="41"/>
      <c r="E87" s="42"/>
      <c r="F87" s="43">
        <f>F82+F86</f>
        <v>30721.53</v>
      </c>
      <c r="G87" s="42"/>
    </row>
    <row r="88" spans="1:12">
      <c r="A88" s="31"/>
      <c r="B88" s="31"/>
      <c r="C88" s="31"/>
      <c r="D88" s="31"/>
      <c r="E88" s="31"/>
      <c r="F88" s="31"/>
      <c r="G88" s="31"/>
    </row>
    <row r="89" spans="1:12">
      <c r="A89" s="198" t="s">
        <v>115</v>
      </c>
      <c r="B89" s="31"/>
      <c r="C89" s="201" t="s">
        <v>125</v>
      </c>
      <c r="D89" s="31"/>
      <c r="E89" s="31"/>
      <c r="F89" s="31"/>
      <c r="G89" s="31"/>
    </row>
    <row r="90" spans="1:12">
      <c r="A90" s="31"/>
      <c r="B90" s="31"/>
      <c r="C90" s="31"/>
      <c r="D90" s="31"/>
      <c r="E90" s="31"/>
      <c r="F90" s="31"/>
      <c r="G90" s="31"/>
    </row>
    <row r="91" spans="1:12" ht="26.5">
      <c r="A91" s="44" t="s">
        <v>32</v>
      </c>
      <c r="B91" s="45" t="s">
        <v>33</v>
      </c>
      <c r="C91" s="46" t="s">
        <v>34</v>
      </c>
      <c r="D91" s="44" t="s">
        <v>35</v>
      </c>
      <c r="E91" s="44" t="s">
        <v>36</v>
      </c>
      <c r="F91" s="44" t="s">
        <v>37</v>
      </c>
      <c r="G91" s="44" t="s">
        <v>38</v>
      </c>
      <c r="I91" s="7" t="s">
        <v>48</v>
      </c>
    </row>
    <row r="92" spans="1:12">
      <c r="A92" s="179" t="s">
        <v>45</v>
      </c>
      <c r="B92" s="180" t="s">
        <v>46</v>
      </c>
      <c r="C92" s="192" t="s">
        <v>41</v>
      </c>
      <c r="D92" s="182" t="s">
        <v>161</v>
      </c>
      <c r="E92" s="183">
        <v>-579564.62</v>
      </c>
      <c r="F92" s="184">
        <v>-46796.9</v>
      </c>
      <c r="G92" s="183">
        <v>-626361.52</v>
      </c>
      <c r="I92" s="6">
        <f>(G6+G15+G28+G37+G180+G50+G59+G70+G79)*-0.21</f>
        <v>-626361.51690000005</v>
      </c>
      <c r="J92" s="8">
        <f>G92-I92</f>
        <v>-3.0999999726191163E-3</v>
      </c>
    </row>
    <row r="93" spans="1:12" s="12" customFormat="1">
      <c r="A93" s="185"/>
      <c r="B93" s="180" t="s">
        <v>46</v>
      </c>
      <c r="C93" s="193"/>
      <c r="D93" s="182" t="s">
        <v>162</v>
      </c>
      <c r="E93" s="183">
        <v>-626361.52</v>
      </c>
      <c r="F93" s="184">
        <v>180346.22</v>
      </c>
      <c r="G93" s="183">
        <v>-446015.3</v>
      </c>
      <c r="H93"/>
      <c r="I93" s="11">
        <f>(G7+G16+G29+G38+G181+G51+G60+G71+G80)*-0.21</f>
        <v>-446015.2977</v>
      </c>
      <c r="J93" s="8">
        <f>G93-I93</f>
        <v>-2.2999999928288162E-3</v>
      </c>
      <c r="K93" s="219"/>
      <c r="L93" s="219"/>
    </row>
    <row r="94" spans="1:12" s="12" customFormat="1" ht="14.5" customHeight="1">
      <c r="A94" s="185"/>
      <c r="B94" s="180" t="s">
        <v>46</v>
      </c>
      <c r="C94" s="194"/>
      <c r="D94" s="182" t="s">
        <v>163</v>
      </c>
      <c r="E94" s="183">
        <v>-446015.3</v>
      </c>
      <c r="F94" s="184">
        <v>475175.48</v>
      </c>
      <c r="G94" s="183">
        <v>29160.18</v>
      </c>
      <c r="H94"/>
      <c r="I94" s="11">
        <f>(G8+G17+G30+G39+G182+G52+G61+G72+G81)*-0.21</f>
        <v>29160.184199999967</v>
      </c>
      <c r="J94" s="8">
        <f>G94-I94</f>
        <v>-4.1999999666586518E-3</v>
      </c>
      <c r="K94" s="219"/>
      <c r="L94" s="219"/>
    </row>
    <row r="95" spans="1:12">
      <c r="A95" s="185"/>
      <c r="B95" s="37"/>
      <c r="C95" s="38"/>
      <c r="D95" s="37"/>
      <c r="E95" s="39"/>
      <c r="F95" s="40">
        <f>SUM(F92:F94)</f>
        <v>608724.80000000005</v>
      </c>
      <c r="G95" s="39"/>
      <c r="K95" s="219"/>
      <c r="L95" s="219"/>
    </row>
    <row r="96" spans="1:12">
      <c r="A96" s="185"/>
      <c r="B96" s="180" t="s">
        <v>46</v>
      </c>
      <c r="C96" s="192" t="s">
        <v>42</v>
      </c>
      <c r="D96" s="182" t="s">
        <v>161</v>
      </c>
      <c r="E96" s="183">
        <v>210435.20000000001</v>
      </c>
      <c r="F96" s="184">
        <v>-35644.11</v>
      </c>
      <c r="G96" s="183">
        <v>174791.09</v>
      </c>
      <c r="I96" s="6">
        <f>(G10+G19+G32+G41+G184+G54+G63+G74+G83)*-0.21</f>
        <v>174791.11859999999</v>
      </c>
      <c r="J96" s="8">
        <f>G96-I96</f>
        <v>-2.8599999990547076E-2</v>
      </c>
      <c r="K96" s="8"/>
      <c r="L96" s="8"/>
    </row>
    <row r="97" spans="1:19">
      <c r="A97" s="185"/>
      <c r="B97" s="180" t="s">
        <v>46</v>
      </c>
      <c r="C97" s="193"/>
      <c r="D97" s="182" t="s">
        <v>162</v>
      </c>
      <c r="E97" s="183">
        <v>174791.09</v>
      </c>
      <c r="F97" s="184">
        <v>-29317.18</v>
      </c>
      <c r="G97" s="183">
        <v>145473.91</v>
      </c>
      <c r="I97" s="11">
        <f>(G11+G20+G33+G42+G185+G55+G64+G75+G84)*-0.21</f>
        <v>145473.93419999996</v>
      </c>
      <c r="J97" s="8">
        <f>G97-I97</f>
        <v>-2.4199999956181273E-2</v>
      </c>
      <c r="K97" s="219"/>
      <c r="L97" s="219"/>
    </row>
    <row r="98" spans="1:19">
      <c r="A98" s="185"/>
      <c r="B98" s="180" t="s">
        <v>46</v>
      </c>
      <c r="C98" s="194"/>
      <c r="D98" s="182" t="s">
        <v>163</v>
      </c>
      <c r="E98" s="183">
        <v>145473.91</v>
      </c>
      <c r="F98" s="184">
        <v>-30720.39</v>
      </c>
      <c r="G98" s="183">
        <v>114753.52</v>
      </c>
      <c r="I98" s="11">
        <f>(G12+G21+G34+G43+G186+G56+G65+G76+G85)*-0.21</f>
        <v>114753.54659999999</v>
      </c>
      <c r="J98" s="8">
        <f>G98-I98</f>
        <v>-2.6599999982863665E-2</v>
      </c>
      <c r="K98" s="219"/>
      <c r="L98" s="219"/>
    </row>
    <row r="99" spans="1:19">
      <c r="A99" s="189"/>
      <c r="B99" s="37"/>
      <c r="C99" s="38"/>
      <c r="D99" s="37"/>
      <c r="E99" s="39"/>
      <c r="F99" s="40">
        <f>SUM(F96:F98)</f>
        <v>-95681.68</v>
      </c>
      <c r="G99" s="39"/>
      <c r="K99" s="219"/>
      <c r="L99" s="219"/>
    </row>
    <row r="100" spans="1:19">
      <c r="A100" s="41"/>
      <c r="B100" s="191"/>
      <c r="C100" s="41"/>
      <c r="D100" s="41"/>
      <c r="E100" s="42"/>
      <c r="F100" s="43">
        <f>F95+F99</f>
        <v>513043.12000000005</v>
      </c>
      <c r="G100" s="42"/>
    </row>
    <row r="101" spans="1:19" s="31" customFormat="1" ht="14.5" hidden="1" customHeight="1">
      <c r="A101" s="202"/>
      <c r="B101" s="203"/>
      <c r="C101" s="202"/>
      <c r="D101" s="202"/>
      <c r="E101" s="204"/>
      <c r="F101" s="205"/>
      <c r="G101" s="204"/>
    </row>
    <row r="102" spans="1:19" ht="15.5">
      <c r="A102" s="218" t="s">
        <v>47</v>
      </c>
      <c r="B102" s="218"/>
      <c r="C102" s="218"/>
      <c r="D102" s="218"/>
      <c r="E102" s="218"/>
      <c r="F102" s="218"/>
      <c r="G102" s="218"/>
    </row>
    <row r="103" spans="1:19">
      <c r="A103" s="31"/>
      <c r="B103" s="31"/>
      <c r="C103" s="31"/>
      <c r="D103" s="31"/>
      <c r="E103" s="31"/>
      <c r="F103" s="31"/>
      <c r="G103" s="31"/>
      <c r="S103" s="31"/>
    </row>
    <row r="104" spans="1:19">
      <c r="A104" s="198" t="s">
        <v>115</v>
      </c>
      <c r="B104" s="31"/>
      <c r="C104" s="201" t="s">
        <v>126</v>
      </c>
      <c r="D104" s="31"/>
      <c r="E104" s="31"/>
      <c r="F104" s="31"/>
      <c r="G104" s="31"/>
    </row>
    <row r="105" spans="1:19">
      <c r="A105" s="31"/>
      <c r="B105" s="31"/>
      <c r="C105" s="31"/>
      <c r="D105" s="31"/>
      <c r="E105" s="31"/>
      <c r="F105" s="31"/>
      <c r="G105" s="31"/>
    </row>
    <row r="106" spans="1:19" ht="26.5">
      <c r="A106" s="44" t="s">
        <v>32</v>
      </c>
      <c r="B106" s="45" t="s">
        <v>33</v>
      </c>
      <c r="C106" s="46" t="s">
        <v>34</v>
      </c>
      <c r="D106" s="44" t="s">
        <v>35</v>
      </c>
      <c r="E106" s="44" t="s">
        <v>36</v>
      </c>
      <c r="F106" s="44" t="s">
        <v>37</v>
      </c>
      <c r="G106" s="44" t="s">
        <v>38</v>
      </c>
    </row>
    <row r="107" spans="1:19">
      <c r="A107" s="179" t="s">
        <v>50</v>
      </c>
      <c r="B107" s="180" t="s">
        <v>51</v>
      </c>
      <c r="C107" s="192" t="s">
        <v>41</v>
      </c>
      <c r="D107" s="182" t="s">
        <v>161</v>
      </c>
      <c r="E107" s="183">
        <v>-496758.35</v>
      </c>
      <c r="F107" s="184">
        <v>-153665.79999999999</v>
      </c>
      <c r="G107" s="183">
        <v>-650424.15</v>
      </c>
    </row>
    <row r="108" spans="1:19">
      <c r="A108" s="185"/>
      <c r="B108" s="180" t="s">
        <v>51</v>
      </c>
      <c r="C108" s="193"/>
      <c r="D108" s="182" t="s">
        <v>162</v>
      </c>
      <c r="E108" s="183">
        <v>-650424.15</v>
      </c>
      <c r="F108" s="184">
        <v>435868.44</v>
      </c>
      <c r="G108" s="183">
        <v>-214555.71</v>
      </c>
    </row>
    <row r="109" spans="1:19" s="31" customFormat="1">
      <c r="A109" s="185"/>
      <c r="B109" s="180" t="s">
        <v>51</v>
      </c>
      <c r="C109" s="194"/>
      <c r="D109" s="182" t="s">
        <v>163</v>
      </c>
      <c r="E109" s="183">
        <v>-214555.71</v>
      </c>
      <c r="F109" s="184">
        <v>1434947.52</v>
      </c>
      <c r="G109" s="183">
        <v>1220391.81</v>
      </c>
      <c r="H109"/>
      <c r="I109"/>
    </row>
    <row r="110" spans="1:19">
      <c r="A110" s="189"/>
      <c r="B110" s="41"/>
      <c r="C110" s="47"/>
      <c r="D110" s="41"/>
      <c r="E110" s="42"/>
      <c r="F110" s="43">
        <f>SUM(F107:F109)</f>
        <v>1717150.1600000001</v>
      </c>
      <c r="G110" s="42"/>
    </row>
    <row r="111" spans="1:19">
      <c r="A111" s="179" t="s">
        <v>52</v>
      </c>
      <c r="B111" s="180" t="s">
        <v>53</v>
      </c>
      <c r="C111" s="192" t="s">
        <v>41</v>
      </c>
      <c r="D111" s="182" t="s">
        <v>161</v>
      </c>
      <c r="E111" s="183">
        <v>-779935.02</v>
      </c>
      <c r="F111" s="184">
        <v>-101276.55</v>
      </c>
      <c r="G111" s="183">
        <v>-881211.57</v>
      </c>
    </row>
    <row r="112" spans="1:19">
      <c r="A112" s="185"/>
      <c r="B112" s="180" t="s">
        <v>53</v>
      </c>
      <c r="C112" s="193"/>
      <c r="D112" s="182" t="s">
        <v>162</v>
      </c>
      <c r="E112" s="183">
        <v>-881211.57</v>
      </c>
      <c r="F112" s="184">
        <v>392072.61</v>
      </c>
      <c r="G112" s="183">
        <v>-489138.96</v>
      </c>
    </row>
    <row r="113" spans="1:15" s="31" customFormat="1">
      <c r="A113" s="185"/>
      <c r="B113" s="180" t="s">
        <v>53</v>
      </c>
      <c r="C113" s="194"/>
      <c r="D113" s="182" t="s">
        <v>163</v>
      </c>
      <c r="E113" s="183">
        <v>-489138.96</v>
      </c>
      <c r="F113" s="184">
        <v>790462.84</v>
      </c>
      <c r="G113" s="183">
        <v>301323.88</v>
      </c>
      <c r="H113"/>
      <c r="I113"/>
    </row>
    <row r="114" spans="1:15">
      <c r="A114" s="189"/>
      <c r="B114" s="41"/>
      <c r="C114" s="47"/>
      <c r="D114" s="41"/>
      <c r="E114" s="42"/>
      <c r="F114" s="43">
        <f>SUM(F111:F113)</f>
        <v>1081258.8999999999</v>
      </c>
      <c r="G114" s="42"/>
    </row>
    <row r="115" spans="1:15">
      <c r="A115" s="179" t="s">
        <v>54</v>
      </c>
      <c r="B115" s="180" t="s">
        <v>51</v>
      </c>
      <c r="C115" s="192" t="s">
        <v>42</v>
      </c>
      <c r="D115" s="182" t="s">
        <v>161</v>
      </c>
      <c r="E115" s="183">
        <v>684717.05</v>
      </c>
      <c r="F115" s="184">
        <v>-134502.51999999999</v>
      </c>
      <c r="G115" s="183">
        <v>550214.53</v>
      </c>
    </row>
    <row r="116" spans="1:15">
      <c r="A116" s="185"/>
      <c r="B116" s="180" t="s">
        <v>51</v>
      </c>
      <c r="C116" s="193"/>
      <c r="D116" s="182" t="s">
        <v>162</v>
      </c>
      <c r="E116" s="183">
        <v>550214.53</v>
      </c>
      <c r="F116" s="184">
        <v>-105519.01</v>
      </c>
      <c r="G116" s="183">
        <v>444695.52</v>
      </c>
    </row>
    <row r="117" spans="1:15" s="31" customFormat="1">
      <c r="A117" s="185"/>
      <c r="B117" s="180" t="s">
        <v>51</v>
      </c>
      <c r="C117" s="194"/>
      <c r="D117" s="182" t="s">
        <v>163</v>
      </c>
      <c r="E117" s="183">
        <v>444695.52</v>
      </c>
      <c r="F117" s="184">
        <v>-103582.39999999999</v>
      </c>
      <c r="G117" s="183">
        <v>341113.12</v>
      </c>
      <c r="H117"/>
      <c r="I117"/>
    </row>
    <row r="118" spans="1:15">
      <c r="A118" s="189"/>
      <c r="B118" s="41"/>
      <c r="C118" s="47"/>
      <c r="D118" s="41"/>
      <c r="E118" s="42"/>
      <c r="F118" s="43">
        <f>SUM(F115:F117)</f>
        <v>-343603.92999999993</v>
      </c>
      <c r="G118" s="42"/>
    </row>
    <row r="119" spans="1:15">
      <c r="A119" s="179" t="s">
        <v>55</v>
      </c>
      <c r="B119" s="180" t="s">
        <v>53</v>
      </c>
      <c r="C119" s="192" t="s">
        <v>42</v>
      </c>
      <c r="D119" s="182" t="s">
        <v>161</v>
      </c>
      <c r="E119" s="183">
        <v>195620.26</v>
      </c>
      <c r="F119" s="184">
        <v>13562.67</v>
      </c>
      <c r="G119" s="183">
        <v>209182.93</v>
      </c>
    </row>
    <row r="120" spans="1:15">
      <c r="A120" s="185"/>
      <c r="B120" s="180" t="s">
        <v>53</v>
      </c>
      <c r="C120" s="193"/>
      <c r="D120" s="182" t="s">
        <v>162</v>
      </c>
      <c r="E120" s="183">
        <v>209182.93</v>
      </c>
      <c r="F120" s="184">
        <v>-4664.8100000000004</v>
      </c>
      <c r="G120" s="183">
        <v>204518.12</v>
      </c>
    </row>
    <row r="121" spans="1:15" s="31" customFormat="1">
      <c r="A121" s="185"/>
      <c r="B121" s="180" t="s">
        <v>53</v>
      </c>
      <c r="C121" s="194"/>
      <c r="D121" s="182" t="s">
        <v>163</v>
      </c>
      <c r="E121" s="183">
        <v>204518.12</v>
      </c>
      <c r="F121" s="184">
        <v>-23660.75</v>
      </c>
      <c r="G121" s="183">
        <v>180857.37</v>
      </c>
      <c r="H121"/>
      <c r="I121"/>
      <c r="K121"/>
      <c r="L121"/>
      <c r="M121"/>
      <c r="N121"/>
      <c r="O121"/>
    </row>
    <row r="122" spans="1:15">
      <c r="A122" s="189"/>
      <c r="B122" s="41"/>
      <c r="C122" s="47"/>
      <c r="D122" s="41"/>
      <c r="E122" s="42"/>
      <c r="F122" s="43">
        <f>SUM(F119:F121)</f>
        <v>-14762.89</v>
      </c>
      <c r="G122" s="42"/>
      <c r="K122" s="31"/>
      <c r="L122" s="31"/>
      <c r="M122" s="31"/>
      <c r="N122" s="31"/>
      <c r="O122" s="31"/>
    </row>
    <row r="123" spans="1:15" s="31" customFormat="1">
      <c r="A123" s="206"/>
      <c r="B123" s="202"/>
      <c r="C123" s="195"/>
      <c r="D123" s="202"/>
      <c r="E123" s="204"/>
      <c r="F123" s="205"/>
      <c r="G123" s="204"/>
      <c r="K123"/>
      <c r="L123"/>
      <c r="M123"/>
      <c r="N123"/>
      <c r="O123"/>
    </row>
    <row r="124" spans="1:15" s="31" customFormat="1">
      <c r="A124" s="206"/>
      <c r="B124" s="202"/>
      <c r="C124" s="199" t="s">
        <v>141</v>
      </c>
      <c r="D124" s="202"/>
      <c r="E124" s="204"/>
      <c r="F124" s="205"/>
      <c r="G124" s="204"/>
    </row>
    <row r="125" spans="1:15" s="31" customFormat="1">
      <c r="A125" s="206"/>
      <c r="B125" s="202"/>
      <c r="C125" s="195"/>
      <c r="D125" s="202"/>
      <c r="E125" s="204"/>
      <c r="F125" s="205"/>
      <c r="G125" s="204"/>
    </row>
    <row r="126" spans="1:15" s="31" customFormat="1" ht="26.5">
      <c r="A126" s="44" t="s">
        <v>32</v>
      </c>
      <c r="B126" s="45" t="s">
        <v>33</v>
      </c>
      <c r="C126" s="46" t="s">
        <v>34</v>
      </c>
      <c r="D126" s="44" t="s">
        <v>35</v>
      </c>
      <c r="E126" s="44" t="s">
        <v>36</v>
      </c>
      <c r="F126" s="44" t="s">
        <v>37</v>
      </c>
      <c r="G126" s="44" t="s">
        <v>38</v>
      </c>
    </row>
    <row r="127" spans="1:15" s="31" customFormat="1">
      <c r="A127" s="179">
        <v>456329</v>
      </c>
      <c r="B127" s="180" t="s">
        <v>139</v>
      </c>
      <c r="C127" s="192" t="s">
        <v>41</v>
      </c>
      <c r="D127" s="182" t="s">
        <v>161</v>
      </c>
      <c r="E127" s="183">
        <v>101081.59</v>
      </c>
      <c r="F127" s="184">
        <v>25622.31</v>
      </c>
      <c r="G127" s="183">
        <v>126703.9</v>
      </c>
    </row>
    <row r="128" spans="1:15" s="31" customFormat="1">
      <c r="A128" s="185"/>
      <c r="B128" s="180" t="s">
        <v>139</v>
      </c>
      <c r="C128" s="193"/>
      <c r="D128" s="182" t="s">
        <v>162</v>
      </c>
      <c r="E128" s="183">
        <v>126703.9</v>
      </c>
      <c r="F128" s="184">
        <v>23321.42</v>
      </c>
      <c r="G128" s="183">
        <v>150025.32</v>
      </c>
    </row>
    <row r="129" spans="1:8" s="31" customFormat="1">
      <c r="A129" s="185"/>
      <c r="B129" s="180" t="s">
        <v>139</v>
      </c>
      <c r="C129" s="194"/>
      <c r="D129" s="182" t="s">
        <v>163</v>
      </c>
      <c r="E129" s="183">
        <v>150025.32</v>
      </c>
      <c r="F129" s="184">
        <v>27087.24</v>
      </c>
      <c r="G129" s="183">
        <v>177112.56</v>
      </c>
    </row>
    <row r="130" spans="1:8" s="31" customFormat="1">
      <c r="A130" s="189"/>
      <c r="B130" s="41"/>
      <c r="C130" s="47"/>
      <c r="D130" s="41"/>
      <c r="E130" s="42"/>
      <c r="F130" s="43">
        <f>SUM(F127:F129)</f>
        <v>76030.97</v>
      </c>
      <c r="G130" s="42"/>
    </row>
    <row r="131" spans="1:8" s="31" customFormat="1">
      <c r="A131" s="179">
        <v>456339</v>
      </c>
      <c r="B131" s="180" t="s">
        <v>140</v>
      </c>
      <c r="C131" s="192" t="s">
        <v>41</v>
      </c>
      <c r="D131" s="182" t="s">
        <v>161</v>
      </c>
      <c r="E131" s="183">
        <v>29285.19</v>
      </c>
      <c r="F131" s="184">
        <v>8871.3700000000008</v>
      </c>
      <c r="G131" s="183">
        <v>38156.559999999998</v>
      </c>
    </row>
    <row r="132" spans="1:8" s="31" customFormat="1">
      <c r="A132" s="185"/>
      <c r="B132" s="180" t="s">
        <v>140</v>
      </c>
      <c r="C132" s="193"/>
      <c r="D132" s="182" t="s">
        <v>162</v>
      </c>
      <c r="E132" s="183">
        <v>38156.559999999998</v>
      </c>
      <c r="F132" s="184">
        <v>9655.9</v>
      </c>
      <c r="G132" s="183">
        <v>47812.46</v>
      </c>
    </row>
    <row r="133" spans="1:8" s="31" customFormat="1">
      <c r="A133" s="185"/>
      <c r="B133" s="180" t="s">
        <v>140</v>
      </c>
      <c r="C133" s="194"/>
      <c r="D133" s="182" t="s">
        <v>163</v>
      </c>
      <c r="E133" s="183">
        <v>47812.46</v>
      </c>
      <c r="F133" s="184">
        <v>11069.54</v>
      </c>
      <c r="G133" s="183">
        <v>58882</v>
      </c>
    </row>
    <row r="134" spans="1:8" s="31" customFormat="1">
      <c r="A134" s="189"/>
      <c r="B134" s="41"/>
      <c r="C134" s="47"/>
      <c r="D134" s="41"/>
      <c r="E134" s="42"/>
      <c r="F134" s="43">
        <f>SUM(F131:F133)</f>
        <v>29596.81</v>
      </c>
      <c r="G134" s="42"/>
    </row>
    <row r="135" spans="1:8" s="31" customFormat="1">
      <c r="A135" s="179">
        <v>495329</v>
      </c>
      <c r="B135" s="180" t="s">
        <v>139</v>
      </c>
      <c r="C135" s="192" t="s">
        <v>42</v>
      </c>
      <c r="D135" s="182" t="s">
        <v>161</v>
      </c>
      <c r="E135" s="183">
        <v>-221933.36</v>
      </c>
      <c r="F135" s="184">
        <v>-36945.550000000003</v>
      </c>
      <c r="G135" s="183">
        <v>-258878.91</v>
      </c>
    </row>
    <row r="136" spans="1:8" s="31" customFormat="1">
      <c r="A136" s="185"/>
      <c r="B136" s="180" t="s">
        <v>139</v>
      </c>
      <c r="C136" s="193"/>
      <c r="D136" s="182" t="s">
        <v>162</v>
      </c>
      <c r="E136" s="183">
        <v>-258878.91</v>
      </c>
      <c r="F136" s="184">
        <v>-19587.87</v>
      </c>
      <c r="G136" s="183">
        <v>-278466.78000000003</v>
      </c>
    </row>
    <row r="137" spans="1:8" s="31" customFormat="1">
      <c r="A137" s="185"/>
      <c r="B137" s="180" t="s">
        <v>139</v>
      </c>
      <c r="C137" s="194"/>
      <c r="D137" s="182" t="s">
        <v>163</v>
      </c>
      <c r="E137" s="183">
        <v>-278466.78000000003</v>
      </c>
      <c r="F137" s="184">
        <v>-11705.45</v>
      </c>
      <c r="G137" s="183">
        <v>-290172.23</v>
      </c>
    </row>
    <row r="138" spans="1:8" s="31" customFormat="1">
      <c r="A138" s="189"/>
      <c r="B138" s="41"/>
      <c r="C138" s="47"/>
      <c r="D138" s="41"/>
      <c r="E138" s="42"/>
      <c r="F138" s="43">
        <f>SUM(F135:F137)</f>
        <v>-68238.87</v>
      </c>
      <c r="G138" s="42"/>
    </row>
    <row r="139" spans="1:8" s="31" customFormat="1">
      <c r="A139" s="179">
        <v>495339</v>
      </c>
      <c r="B139" s="180" t="s">
        <v>140</v>
      </c>
      <c r="C139" s="192" t="s">
        <v>42</v>
      </c>
      <c r="D139" s="182" t="s">
        <v>161</v>
      </c>
      <c r="E139" s="183">
        <v>-63334.61</v>
      </c>
      <c r="F139" s="184">
        <v>-12538.93</v>
      </c>
      <c r="G139" s="183">
        <v>-75873.539999999994</v>
      </c>
    </row>
    <row r="140" spans="1:8" s="31" customFormat="1">
      <c r="A140" s="185"/>
      <c r="B140" s="180" t="s">
        <v>140</v>
      </c>
      <c r="C140" s="193"/>
      <c r="D140" s="182" t="s">
        <v>162</v>
      </c>
      <c r="E140" s="183">
        <v>-75873.539999999994</v>
      </c>
      <c r="F140" s="184">
        <v>-10469.129999999999</v>
      </c>
      <c r="G140" s="183">
        <v>-86342.67</v>
      </c>
    </row>
    <row r="141" spans="1:8" s="31" customFormat="1">
      <c r="A141" s="185"/>
      <c r="B141" s="180" t="s">
        <v>140</v>
      </c>
      <c r="C141" s="194"/>
      <c r="D141" s="182" t="s">
        <v>163</v>
      </c>
      <c r="E141" s="183">
        <v>-86342.67</v>
      </c>
      <c r="F141" s="184">
        <v>-7855.06</v>
      </c>
      <c r="G141" s="183">
        <v>-94197.73</v>
      </c>
    </row>
    <row r="142" spans="1:8" s="31" customFormat="1">
      <c r="A142" s="189"/>
      <c r="B142" s="41"/>
      <c r="C142" s="47"/>
      <c r="D142" s="41"/>
      <c r="E142" s="42"/>
      <c r="F142" s="43">
        <f>SUM(F139:F141)</f>
        <v>-30863.119999999999</v>
      </c>
      <c r="G142" s="42"/>
    </row>
    <row r="143" spans="1:8" s="31" customFormat="1">
      <c r="A143" s="206"/>
      <c r="B143" s="202"/>
      <c r="C143" s="195"/>
      <c r="D143" s="202"/>
      <c r="E143" s="204"/>
      <c r="F143" s="205"/>
      <c r="G143" s="204"/>
    </row>
    <row r="144" spans="1:8">
      <c r="A144" s="198" t="s">
        <v>115</v>
      </c>
      <c r="B144" s="31"/>
      <c r="C144" s="207" t="s">
        <v>127</v>
      </c>
      <c r="D144" s="31"/>
      <c r="E144" s="31"/>
      <c r="F144" s="31"/>
      <c r="G144" s="31"/>
      <c r="H144" s="16"/>
    </row>
    <row r="145" spans="1:7">
      <c r="A145" s="31"/>
      <c r="B145" s="31"/>
      <c r="C145" s="31"/>
      <c r="D145" s="31"/>
      <c r="E145" s="31"/>
      <c r="F145" s="31"/>
      <c r="G145" s="31"/>
    </row>
    <row r="146" spans="1:7" ht="26.5">
      <c r="A146" s="44" t="s">
        <v>32</v>
      </c>
      <c r="B146" s="45" t="s">
        <v>33</v>
      </c>
      <c r="C146" s="46" t="s">
        <v>34</v>
      </c>
      <c r="D146" s="44" t="s">
        <v>35</v>
      </c>
      <c r="E146" s="44" t="s">
        <v>36</v>
      </c>
      <c r="F146" s="44" t="s">
        <v>37</v>
      </c>
      <c r="G146" s="44" t="s">
        <v>38</v>
      </c>
    </row>
    <row r="147" spans="1:7">
      <c r="A147" s="179">
        <v>419328</v>
      </c>
      <c r="B147" s="180" t="s">
        <v>146</v>
      </c>
      <c r="C147" s="192" t="s">
        <v>41</v>
      </c>
      <c r="D147" s="182" t="s">
        <v>161</v>
      </c>
      <c r="E147" s="183">
        <v>-9022.0400000000009</v>
      </c>
      <c r="F147" s="184">
        <v>-3240.38</v>
      </c>
      <c r="G147" s="183">
        <v>-12262.42</v>
      </c>
    </row>
    <row r="148" spans="1:7">
      <c r="A148" s="185"/>
      <c r="B148" s="180" t="s">
        <v>146</v>
      </c>
      <c r="C148" s="193"/>
      <c r="D148" s="182" t="s">
        <v>162</v>
      </c>
      <c r="E148" s="183">
        <v>-12262.42</v>
      </c>
      <c r="F148" s="184">
        <v>-2974.23</v>
      </c>
      <c r="G148" s="183">
        <v>-15236.65</v>
      </c>
    </row>
    <row r="149" spans="1:7">
      <c r="A149" s="185"/>
      <c r="B149" s="180" t="s">
        <v>146</v>
      </c>
      <c r="C149" s="194"/>
      <c r="D149" s="182" t="s">
        <v>163</v>
      </c>
      <c r="E149" s="183">
        <v>-15236.65</v>
      </c>
      <c r="F149" s="184">
        <v>-2092.38</v>
      </c>
      <c r="G149" s="183">
        <v>-17329.03</v>
      </c>
    </row>
    <row r="150" spans="1:7">
      <c r="A150" s="185"/>
      <c r="B150" s="37"/>
      <c r="C150" s="38"/>
      <c r="D150" s="37"/>
      <c r="E150" s="39"/>
      <c r="F150" s="40">
        <f>SUM(F147:F149)</f>
        <v>-8306.9900000000016</v>
      </c>
      <c r="G150" s="39"/>
    </row>
    <row r="151" spans="1:7">
      <c r="A151" s="185"/>
      <c r="B151" s="180" t="s">
        <v>146</v>
      </c>
      <c r="C151" s="192" t="s">
        <v>42</v>
      </c>
      <c r="D151" s="182" t="s">
        <v>161</v>
      </c>
      <c r="E151" s="183">
        <v>-257.89</v>
      </c>
      <c r="F151" s="184">
        <v>-85.34</v>
      </c>
      <c r="G151" s="183">
        <v>-343.23</v>
      </c>
    </row>
    <row r="152" spans="1:7">
      <c r="A152" s="185"/>
      <c r="B152" s="180" t="s">
        <v>146</v>
      </c>
      <c r="C152" s="193"/>
      <c r="D152" s="182" t="s">
        <v>162</v>
      </c>
      <c r="E152" s="183">
        <v>-343.23</v>
      </c>
      <c r="F152" s="184">
        <v>-78.64</v>
      </c>
      <c r="G152" s="183">
        <v>-421.87</v>
      </c>
    </row>
    <row r="153" spans="1:7">
      <c r="A153" s="185"/>
      <c r="B153" s="180" t="s">
        <v>146</v>
      </c>
      <c r="C153" s="194"/>
      <c r="D153" s="182" t="s">
        <v>163</v>
      </c>
      <c r="E153" s="183">
        <v>-421.87</v>
      </c>
      <c r="F153" s="184">
        <v>-78.709999999999994</v>
      </c>
      <c r="G153" s="183">
        <v>-500.58</v>
      </c>
    </row>
    <row r="154" spans="1:7">
      <c r="A154" s="189"/>
      <c r="B154" s="37"/>
      <c r="C154" s="38"/>
      <c r="D154" s="37"/>
      <c r="E154" s="39"/>
      <c r="F154" s="40">
        <f>SUM(F151:F153)</f>
        <v>-242.69</v>
      </c>
      <c r="G154" s="39"/>
    </row>
    <row r="155" spans="1:7">
      <c r="A155" s="158"/>
      <c r="B155" s="159"/>
      <c r="C155" s="158"/>
      <c r="D155" s="158"/>
      <c r="E155" s="160"/>
      <c r="F155" s="161">
        <f>F150+F154</f>
        <v>-8549.6800000000021</v>
      </c>
      <c r="G155" s="160"/>
    </row>
    <row r="156" spans="1:7">
      <c r="A156" s="185">
        <v>431328</v>
      </c>
      <c r="B156" s="208" t="s">
        <v>147</v>
      </c>
      <c r="C156" s="193" t="s">
        <v>41</v>
      </c>
      <c r="D156" s="209" t="s">
        <v>161</v>
      </c>
      <c r="E156" s="210">
        <v>2535.8000000000002</v>
      </c>
      <c r="F156" s="211">
        <v>846.68</v>
      </c>
      <c r="G156" s="210">
        <v>3382.48</v>
      </c>
    </row>
    <row r="157" spans="1:7">
      <c r="A157" s="185"/>
      <c r="B157" s="180" t="s">
        <v>147</v>
      </c>
      <c r="C157" s="193"/>
      <c r="D157" s="182" t="s">
        <v>162</v>
      </c>
      <c r="E157" s="183">
        <v>3382.48</v>
      </c>
      <c r="F157" s="184">
        <v>847.38</v>
      </c>
      <c r="G157" s="183">
        <v>4229.8599999999997</v>
      </c>
    </row>
    <row r="158" spans="1:7">
      <c r="A158" s="185"/>
      <c r="B158" s="180" t="s">
        <v>147</v>
      </c>
      <c r="C158" s="194"/>
      <c r="D158" s="164" t="s">
        <v>163</v>
      </c>
      <c r="E158" s="183">
        <v>4229.8599999999997</v>
      </c>
      <c r="F158" s="184">
        <v>1265.6300000000001</v>
      </c>
      <c r="G158" s="183">
        <v>5495.49</v>
      </c>
    </row>
    <row r="159" spans="1:7">
      <c r="A159" s="185"/>
      <c r="B159" s="37"/>
      <c r="C159" s="38"/>
      <c r="D159" s="37"/>
      <c r="E159" s="39"/>
      <c r="F159" s="40">
        <f>SUM(F156:F158)</f>
        <v>2959.69</v>
      </c>
      <c r="G159" s="39"/>
    </row>
    <row r="160" spans="1:7">
      <c r="A160" s="185"/>
      <c r="B160" s="180" t="s">
        <v>147</v>
      </c>
      <c r="C160" s="192" t="s">
        <v>42</v>
      </c>
      <c r="D160" s="182" t="s">
        <v>161</v>
      </c>
      <c r="E160" s="183">
        <v>2035.01</v>
      </c>
      <c r="F160" s="184">
        <v>775.82</v>
      </c>
      <c r="G160" s="183">
        <v>2810.83</v>
      </c>
    </row>
    <row r="161" spans="1:7">
      <c r="A161" s="185"/>
      <c r="B161" s="180" t="s">
        <v>147</v>
      </c>
      <c r="C161" s="193"/>
      <c r="D161" s="182" t="s">
        <v>162</v>
      </c>
      <c r="E161" s="183">
        <v>2810.83</v>
      </c>
      <c r="F161" s="184">
        <v>713.82</v>
      </c>
      <c r="G161" s="183">
        <v>3524.65</v>
      </c>
    </row>
    <row r="162" spans="1:7">
      <c r="A162" s="185"/>
      <c r="B162" s="180" t="s">
        <v>147</v>
      </c>
      <c r="C162" s="194"/>
      <c r="D162" s="182" t="s">
        <v>163</v>
      </c>
      <c r="E162" s="183">
        <v>3524.65</v>
      </c>
      <c r="F162" s="184">
        <v>594.80999999999995</v>
      </c>
      <c r="G162" s="183">
        <v>4119.46</v>
      </c>
    </row>
    <row r="163" spans="1:7">
      <c r="A163" s="189"/>
      <c r="B163" s="37"/>
      <c r="C163" s="38"/>
      <c r="D163" s="37"/>
      <c r="E163" s="39"/>
      <c r="F163" s="40">
        <f>SUM(F160:F162)</f>
        <v>2084.4499999999998</v>
      </c>
      <c r="G163" s="39"/>
    </row>
    <row r="164" spans="1:7">
      <c r="A164" s="158"/>
      <c r="B164" s="159"/>
      <c r="C164" s="158"/>
      <c r="D164" s="158"/>
      <c r="E164" s="160"/>
      <c r="F164" s="161">
        <f>F159+F163</f>
        <v>5044.1399999999994</v>
      </c>
      <c r="G164" s="160"/>
    </row>
    <row r="165" spans="1:7" ht="9.65" customHeight="1">
      <c r="A165" s="31"/>
      <c r="B165" s="31"/>
      <c r="C165" s="31"/>
      <c r="D165" s="31"/>
      <c r="E165" s="31"/>
      <c r="F165" s="31"/>
      <c r="G165" s="31"/>
    </row>
    <row r="166" spans="1:7" s="31" customFormat="1" ht="15.5">
      <c r="A166" s="218" t="s">
        <v>122</v>
      </c>
      <c r="B166" s="218"/>
      <c r="C166" s="218"/>
      <c r="D166" s="218"/>
      <c r="E166" s="218"/>
      <c r="F166" s="218"/>
      <c r="G166" s="218"/>
    </row>
    <row r="167" spans="1:7" ht="9.65" customHeight="1">
      <c r="A167" s="31"/>
      <c r="B167" s="31"/>
      <c r="C167" s="31"/>
      <c r="D167" s="31"/>
      <c r="E167" s="31"/>
      <c r="F167" s="31"/>
      <c r="G167" s="31"/>
    </row>
    <row r="168" spans="1:7">
      <c r="A168" s="198" t="s">
        <v>115</v>
      </c>
      <c r="B168" s="31"/>
      <c r="C168" s="31"/>
      <c r="D168" s="31"/>
      <c r="E168" s="31"/>
      <c r="F168" s="31"/>
      <c r="G168" s="31"/>
    </row>
    <row r="169" spans="1:7">
      <c r="A169" s="31"/>
      <c r="B169" s="31"/>
      <c r="C169" s="31"/>
      <c r="D169" s="31"/>
      <c r="E169" s="31"/>
      <c r="F169" s="31"/>
      <c r="G169" s="31"/>
    </row>
    <row r="170" spans="1:7" ht="26">
      <c r="A170" s="114" t="s">
        <v>32</v>
      </c>
      <c r="B170" s="115" t="s">
        <v>33</v>
      </c>
      <c r="C170" s="116" t="s">
        <v>34</v>
      </c>
      <c r="D170" s="117" t="s">
        <v>35</v>
      </c>
      <c r="E170" s="118" t="s">
        <v>36</v>
      </c>
      <c r="F170" s="117" t="s">
        <v>37</v>
      </c>
      <c r="G170" s="117" t="s">
        <v>38</v>
      </c>
    </row>
    <row r="171" spans="1:7">
      <c r="A171" s="179" t="s">
        <v>118</v>
      </c>
      <c r="B171" s="180" t="s">
        <v>119</v>
      </c>
      <c r="C171" s="192" t="s">
        <v>41</v>
      </c>
      <c r="D171" s="182" t="s">
        <v>161</v>
      </c>
      <c r="E171" s="183">
        <v>0</v>
      </c>
      <c r="F171" s="184">
        <v>0</v>
      </c>
      <c r="G171" s="183">
        <v>0</v>
      </c>
    </row>
    <row r="172" spans="1:7">
      <c r="A172" s="185"/>
      <c r="B172" s="180" t="s">
        <v>119</v>
      </c>
      <c r="C172" s="193"/>
      <c r="D172" s="182" t="s">
        <v>162</v>
      </c>
      <c r="E172" s="183">
        <v>0</v>
      </c>
      <c r="F172" s="184">
        <v>0</v>
      </c>
      <c r="G172" s="183">
        <v>0</v>
      </c>
    </row>
    <row r="173" spans="1:7">
      <c r="A173" s="185"/>
      <c r="B173" s="180" t="s">
        <v>119</v>
      </c>
      <c r="C173" s="194"/>
      <c r="D173" s="182" t="s">
        <v>163</v>
      </c>
      <c r="E173" s="183">
        <v>0</v>
      </c>
      <c r="F173" s="184">
        <v>0</v>
      </c>
      <c r="G173" s="183">
        <v>0</v>
      </c>
    </row>
    <row r="174" spans="1:7">
      <c r="A174" s="185"/>
      <c r="B174" s="37"/>
      <c r="C174" s="37"/>
      <c r="D174" s="37"/>
      <c r="E174" s="39"/>
      <c r="F174" s="40">
        <f>SUM(F171:F173)</f>
        <v>0</v>
      </c>
      <c r="G174" s="39"/>
    </row>
    <row r="175" spans="1:7">
      <c r="A175" s="185"/>
      <c r="B175" s="180" t="s">
        <v>119</v>
      </c>
      <c r="C175" s="192" t="s">
        <v>42</v>
      </c>
      <c r="D175" s="182" t="s">
        <v>161</v>
      </c>
      <c r="E175" s="183">
        <v>0</v>
      </c>
      <c r="F175" s="184">
        <v>0</v>
      </c>
      <c r="G175" s="183">
        <v>0</v>
      </c>
    </row>
    <row r="176" spans="1:7">
      <c r="A176" s="185"/>
      <c r="B176" s="180" t="s">
        <v>119</v>
      </c>
      <c r="C176" s="193"/>
      <c r="D176" s="182" t="s">
        <v>162</v>
      </c>
      <c r="E176" s="183">
        <v>0</v>
      </c>
      <c r="F176" s="184">
        <v>0</v>
      </c>
      <c r="G176" s="183">
        <v>0</v>
      </c>
    </row>
    <row r="177" spans="1:7">
      <c r="A177" s="185"/>
      <c r="B177" s="180" t="s">
        <v>119</v>
      </c>
      <c r="C177" s="194"/>
      <c r="D177" s="182" t="s">
        <v>163</v>
      </c>
      <c r="E177" s="183">
        <v>0</v>
      </c>
      <c r="F177" s="184">
        <v>0</v>
      </c>
      <c r="G177" s="183">
        <v>0</v>
      </c>
    </row>
    <row r="178" spans="1:7">
      <c r="A178" s="189"/>
      <c r="B178" s="37"/>
      <c r="C178" s="37"/>
      <c r="D178" s="37"/>
      <c r="E178" s="39"/>
      <c r="F178" s="40">
        <f>SUM(F175:F177)</f>
        <v>0</v>
      </c>
      <c r="G178" s="39"/>
    </row>
    <row r="179" spans="1:7">
      <c r="A179" s="41"/>
      <c r="B179" s="41"/>
      <c r="C179" s="41"/>
      <c r="D179" s="41"/>
      <c r="E179" s="42"/>
      <c r="F179" s="43">
        <f>F174+F178</f>
        <v>0</v>
      </c>
      <c r="G179" s="42"/>
    </row>
    <row r="180" spans="1:7">
      <c r="A180" s="179" t="s">
        <v>128</v>
      </c>
      <c r="B180" s="180" t="s">
        <v>129</v>
      </c>
      <c r="C180" s="192" t="s">
        <v>41</v>
      </c>
      <c r="D180" s="182" t="s">
        <v>161</v>
      </c>
      <c r="E180" s="183">
        <v>0</v>
      </c>
      <c r="F180" s="184">
        <v>0</v>
      </c>
      <c r="G180" s="183">
        <v>0</v>
      </c>
    </row>
    <row r="181" spans="1:7">
      <c r="A181" s="185"/>
      <c r="B181" s="180" t="s">
        <v>129</v>
      </c>
      <c r="C181" s="193"/>
      <c r="D181" s="182" t="s">
        <v>162</v>
      </c>
      <c r="E181" s="183">
        <v>0</v>
      </c>
      <c r="F181" s="184">
        <v>0</v>
      </c>
      <c r="G181" s="183">
        <v>0</v>
      </c>
    </row>
    <row r="182" spans="1:7">
      <c r="A182" s="185"/>
      <c r="B182" s="180" t="s">
        <v>129</v>
      </c>
      <c r="C182" s="194"/>
      <c r="D182" s="182" t="s">
        <v>163</v>
      </c>
      <c r="E182" s="183">
        <v>0</v>
      </c>
      <c r="F182" s="184">
        <v>0</v>
      </c>
      <c r="G182" s="183">
        <v>0</v>
      </c>
    </row>
    <row r="183" spans="1:7">
      <c r="A183" s="185"/>
      <c r="B183" s="37"/>
      <c r="C183" s="37"/>
      <c r="D183" s="37"/>
      <c r="E183" s="39"/>
      <c r="F183" s="40">
        <f>SUM(F180:F182)</f>
        <v>0</v>
      </c>
      <c r="G183" s="39"/>
    </row>
    <row r="184" spans="1:7">
      <c r="A184" s="185"/>
      <c r="B184" s="180" t="s">
        <v>129</v>
      </c>
      <c r="C184" s="192" t="s">
        <v>42</v>
      </c>
      <c r="D184" s="182" t="s">
        <v>161</v>
      </c>
      <c r="E184" s="183">
        <v>0</v>
      </c>
      <c r="F184" s="184">
        <v>0</v>
      </c>
      <c r="G184" s="183">
        <v>0</v>
      </c>
    </row>
    <row r="185" spans="1:7">
      <c r="A185" s="185"/>
      <c r="B185" s="180" t="s">
        <v>129</v>
      </c>
      <c r="C185" s="193"/>
      <c r="D185" s="182" t="s">
        <v>162</v>
      </c>
      <c r="E185" s="183">
        <v>0</v>
      </c>
      <c r="F185" s="184">
        <v>0</v>
      </c>
      <c r="G185" s="183">
        <v>0</v>
      </c>
    </row>
    <row r="186" spans="1:7">
      <c r="A186" s="185"/>
      <c r="B186" s="180" t="s">
        <v>129</v>
      </c>
      <c r="C186" s="194"/>
      <c r="D186" s="182" t="s">
        <v>163</v>
      </c>
      <c r="E186" s="183">
        <v>0</v>
      </c>
      <c r="F186" s="184">
        <v>0</v>
      </c>
      <c r="G186" s="183">
        <v>0</v>
      </c>
    </row>
    <row r="187" spans="1:7">
      <c r="A187" s="189"/>
      <c r="B187" s="37"/>
      <c r="C187" s="37"/>
      <c r="D187" s="37"/>
      <c r="E187" s="39"/>
      <c r="F187" s="40">
        <f>SUM(F184:F186)</f>
        <v>0</v>
      </c>
      <c r="G187" s="39"/>
    </row>
    <row r="188" spans="1:7">
      <c r="A188" s="41"/>
      <c r="B188" s="41"/>
      <c r="C188" s="41"/>
      <c r="D188" s="41"/>
      <c r="E188" s="42"/>
      <c r="F188" s="43">
        <f>F183+F187</f>
        <v>0</v>
      </c>
      <c r="G188" s="42"/>
    </row>
    <row r="189" spans="1:7">
      <c r="A189" s="179" t="s">
        <v>130</v>
      </c>
      <c r="B189" s="180" t="s">
        <v>121</v>
      </c>
      <c r="C189" s="192" t="s">
        <v>41</v>
      </c>
      <c r="D189" s="182" t="s">
        <v>161</v>
      </c>
      <c r="E189" s="183">
        <v>0</v>
      </c>
      <c r="F189" s="184">
        <v>0</v>
      </c>
      <c r="G189" s="183">
        <v>0</v>
      </c>
    </row>
    <row r="190" spans="1:7">
      <c r="A190" s="185"/>
      <c r="B190" s="180" t="s">
        <v>121</v>
      </c>
      <c r="C190" s="193"/>
      <c r="D190" s="182" t="s">
        <v>162</v>
      </c>
      <c r="E190" s="183">
        <v>0</v>
      </c>
      <c r="F190" s="184">
        <v>0</v>
      </c>
      <c r="G190" s="183">
        <v>0</v>
      </c>
    </row>
    <row r="191" spans="1:7">
      <c r="A191" s="185"/>
      <c r="B191" s="180" t="s">
        <v>121</v>
      </c>
      <c r="C191" s="194"/>
      <c r="D191" s="182" t="s">
        <v>163</v>
      </c>
      <c r="E191" s="183">
        <v>0</v>
      </c>
      <c r="F191" s="184">
        <v>0</v>
      </c>
      <c r="G191" s="183">
        <v>0</v>
      </c>
    </row>
    <row r="192" spans="1:7">
      <c r="A192" s="189"/>
      <c r="B192" s="37"/>
      <c r="C192" s="37"/>
      <c r="D192" s="37"/>
      <c r="E192" s="39"/>
      <c r="F192" s="40">
        <f>SUM(F189:F191)</f>
        <v>0</v>
      </c>
      <c r="G192" s="39"/>
    </row>
    <row r="193" spans="1:7">
      <c r="A193" s="41"/>
      <c r="B193" s="41"/>
      <c r="C193" s="41"/>
      <c r="D193" s="41"/>
      <c r="E193" s="42"/>
      <c r="F193" s="43">
        <f>F192</f>
        <v>0</v>
      </c>
      <c r="G193" s="42"/>
    </row>
    <row r="194" spans="1:7">
      <c r="A194" s="179" t="s">
        <v>120</v>
      </c>
      <c r="B194" s="180" t="s">
        <v>121</v>
      </c>
      <c r="C194" s="192" t="s">
        <v>42</v>
      </c>
      <c r="D194" s="182" t="s">
        <v>161</v>
      </c>
      <c r="E194" s="183">
        <v>0</v>
      </c>
      <c r="F194" s="184">
        <v>0</v>
      </c>
      <c r="G194" s="183">
        <v>0</v>
      </c>
    </row>
    <row r="195" spans="1:7">
      <c r="A195" s="185"/>
      <c r="B195" s="180" t="s">
        <v>121</v>
      </c>
      <c r="C195" s="193"/>
      <c r="D195" s="182" t="s">
        <v>162</v>
      </c>
      <c r="E195" s="183">
        <v>0</v>
      </c>
      <c r="F195" s="184">
        <v>0</v>
      </c>
      <c r="G195" s="183">
        <v>0</v>
      </c>
    </row>
    <row r="196" spans="1:7">
      <c r="A196" s="185"/>
      <c r="B196" s="180" t="s">
        <v>121</v>
      </c>
      <c r="C196" s="194"/>
      <c r="D196" s="182" t="s">
        <v>163</v>
      </c>
      <c r="E196" s="183">
        <v>0</v>
      </c>
      <c r="F196" s="184">
        <v>0</v>
      </c>
      <c r="G196" s="183">
        <v>0</v>
      </c>
    </row>
    <row r="197" spans="1:7">
      <c r="A197" s="189"/>
      <c r="B197" s="37"/>
      <c r="C197" s="37"/>
      <c r="D197" s="37"/>
      <c r="E197" s="39"/>
      <c r="F197" s="40">
        <f>SUM(F194:F196)</f>
        <v>0</v>
      </c>
      <c r="G197" s="39"/>
    </row>
    <row r="198" spans="1:7">
      <c r="A198" s="41"/>
      <c r="B198" s="41"/>
      <c r="C198" s="41"/>
      <c r="D198" s="41"/>
      <c r="E198" s="42"/>
      <c r="F198" s="43">
        <f>F197</f>
        <v>0</v>
      </c>
      <c r="G198" s="42"/>
    </row>
    <row r="201" spans="1:7">
      <c r="A201" s="217"/>
      <c r="B201" s="217"/>
      <c r="C201" s="217"/>
      <c r="D201" s="217"/>
      <c r="E201" s="217"/>
      <c r="F201" s="217"/>
      <c r="G201" s="217"/>
    </row>
    <row r="202" spans="1:7">
      <c r="A202" s="217"/>
      <c r="B202" s="217"/>
      <c r="C202" s="217"/>
      <c r="D202" s="217"/>
      <c r="E202" s="217"/>
      <c r="F202" s="217"/>
      <c r="G202" s="217"/>
    </row>
    <row r="203" spans="1:7">
      <c r="A203" s="217"/>
      <c r="B203" s="217"/>
      <c r="C203" s="217"/>
      <c r="D203" s="217"/>
      <c r="E203" s="217"/>
      <c r="F203" s="217"/>
      <c r="G203" s="217"/>
    </row>
    <row r="204" spans="1:7">
      <c r="A204" s="217"/>
      <c r="B204" s="217"/>
      <c r="C204" s="217"/>
      <c r="D204" s="217"/>
      <c r="E204" s="217"/>
      <c r="F204" s="217"/>
      <c r="G204" s="217"/>
    </row>
    <row r="205" spans="1:7">
      <c r="A205" s="217"/>
      <c r="B205" s="217"/>
      <c r="C205" s="217"/>
      <c r="D205" s="217"/>
      <c r="E205" s="217"/>
      <c r="F205" s="217"/>
      <c r="G205" s="217"/>
    </row>
    <row r="206" spans="1:7">
      <c r="A206" s="217"/>
      <c r="B206" s="217"/>
      <c r="C206" s="217"/>
      <c r="D206" s="217"/>
      <c r="E206" s="217"/>
      <c r="F206" s="217"/>
      <c r="G206" s="217"/>
    </row>
    <row r="207" spans="1:7">
      <c r="A207" s="217"/>
      <c r="B207" s="217"/>
      <c r="C207" s="217"/>
      <c r="D207" s="217"/>
      <c r="E207" s="217"/>
      <c r="F207" s="217"/>
      <c r="G207" s="217"/>
    </row>
    <row r="208" spans="1:7">
      <c r="A208" s="217"/>
      <c r="B208" s="217"/>
      <c r="C208" s="217"/>
      <c r="D208" s="217"/>
      <c r="E208" s="217"/>
      <c r="F208" s="217"/>
      <c r="G208" s="217"/>
    </row>
    <row r="209" spans="1:7">
      <c r="A209" s="217"/>
      <c r="B209" s="217"/>
      <c r="C209" s="217"/>
      <c r="D209" s="217"/>
      <c r="E209" s="217"/>
      <c r="F209" s="217"/>
      <c r="G209" s="217"/>
    </row>
    <row r="210" spans="1:7">
      <c r="A210" s="217"/>
      <c r="B210" s="217"/>
      <c r="C210" s="217"/>
      <c r="D210" s="217"/>
      <c r="E210" s="217"/>
      <c r="F210" s="217"/>
      <c r="G210" s="217"/>
    </row>
    <row r="211" spans="1:7">
      <c r="A211" s="217"/>
      <c r="B211" s="217"/>
      <c r="C211" s="217"/>
      <c r="D211" s="217"/>
      <c r="E211" s="217"/>
      <c r="F211" s="217"/>
      <c r="G211" s="217"/>
    </row>
    <row r="212" spans="1:7">
      <c r="A212" s="14"/>
      <c r="B212" s="14"/>
      <c r="C212" s="14"/>
      <c r="D212" s="14"/>
      <c r="E212" s="14"/>
      <c r="F212" s="14"/>
      <c r="G212" s="14"/>
    </row>
    <row r="213" spans="1:7" s="31" customFormat="1">
      <c r="A213" s="14"/>
      <c r="B213" s="176"/>
      <c r="C213" s="14"/>
      <c r="D213" s="14"/>
      <c r="E213" s="14"/>
      <c r="F213" s="14"/>
      <c r="G213" s="14"/>
    </row>
    <row r="214" spans="1:7" s="31" customFormat="1">
      <c r="A214" s="14"/>
      <c r="B214" s="176"/>
      <c r="C214" s="14"/>
      <c r="D214" s="14"/>
      <c r="E214" s="14"/>
      <c r="F214" s="14"/>
      <c r="G214" s="14"/>
    </row>
    <row r="215" spans="1:7">
      <c r="A215" s="14"/>
      <c r="B215" s="176"/>
      <c r="C215" s="14"/>
      <c r="D215" s="14"/>
      <c r="E215" s="14"/>
      <c r="F215" s="14"/>
      <c r="G215" s="14"/>
    </row>
    <row r="216" spans="1:7">
      <c r="A216" s="14"/>
      <c r="B216" s="176"/>
      <c r="C216" s="14"/>
      <c r="D216" s="14"/>
      <c r="E216" s="14"/>
      <c r="F216" s="14"/>
      <c r="G216" s="14"/>
    </row>
  </sheetData>
  <mergeCells count="6">
    <mergeCell ref="A201:G211"/>
    <mergeCell ref="A102:G102"/>
    <mergeCell ref="A1:G1"/>
    <mergeCell ref="A166:G166"/>
    <mergeCell ref="K93:L95"/>
    <mergeCell ref="K97:L99"/>
  </mergeCells>
  <phoneticPr fontId="177" type="noConversion"/>
  <printOptions horizontalCentered="1"/>
  <pageMargins left="0.7" right="0.55000000000000004" top="1" bottom="0.53" header="0.39" footer="0.3"/>
  <pageSetup scale="73" firstPageNumber="5" fitToHeight="4" orientation="portrait" useFirstPageNumber="1" r:id="rId1"/>
  <headerFooter scaleWithDoc="0">
    <oddHeader>&amp;C&amp;8Avista Corporation Fixed Cost Adjustment Mechanism
Idaho Jurisdiction
Quarterly Report for 2nd 
Quarter 2021</oddHeader>
    <oddFooter>&amp;C&amp;F / &amp;A&amp;RPage &amp;P of 9</oddFooter>
  </headerFooter>
  <rowBreaks count="3" manualBreakCount="3">
    <brk id="46" max="6" man="1"/>
    <brk id="88" max="6" man="1"/>
    <brk id="14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87"/>
  <sheetViews>
    <sheetView topLeftCell="A13" zoomScaleNormal="100" zoomScaleSheetLayoutView="100" workbookViewId="0">
      <selection activeCell="L48" sqref="L48"/>
    </sheetView>
  </sheetViews>
  <sheetFormatPr defaultRowHeight="14.5"/>
  <cols>
    <col min="1" max="1" width="2.81640625" customWidth="1"/>
    <col min="2" max="2" width="20.7265625" customWidth="1"/>
    <col min="3" max="3" width="8.26953125" customWidth="1"/>
    <col min="4" max="4" width="5" customWidth="1"/>
    <col min="5" max="5" width="9" customWidth="1"/>
    <col min="6" max="6" width="9.26953125" customWidth="1"/>
    <col min="7" max="7" width="8.7265625" customWidth="1"/>
    <col min="8" max="8" width="8.453125" style="31" customWidth="1"/>
    <col min="9" max="9" width="8.54296875" customWidth="1"/>
    <col min="10" max="10" width="6.81640625" bestFit="1" customWidth="1"/>
    <col min="11" max="11" width="2" bestFit="1" customWidth="1"/>
    <col min="12" max="12" width="8.54296875" customWidth="1"/>
  </cols>
  <sheetData>
    <row r="1" spans="1:12">
      <c r="A1" t="s">
        <v>49</v>
      </c>
    </row>
    <row r="2" spans="1:12" s="12" customFormat="1" ht="14.5" customHeight="1">
      <c r="A2" s="20"/>
      <c r="B2" s="20"/>
      <c r="C2" s="20"/>
      <c r="D2" s="20"/>
      <c r="E2" s="20"/>
      <c r="F2" s="20"/>
      <c r="G2" s="20"/>
      <c r="H2" s="36"/>
      <c r="I2" s="20"/>
      <c r="J2" s="20"/>
      <c r="K2" s="20"/>
    </row>
    <row r="3" spans="1:12" s="12" customFormat="1" ht="64.5" customHeight="1">
      <c r="A3" s="222" t="s">
        <v>165</v>
      </c>
      <c r="B3" s="222"/>
      <c r="C3" s="222"/>
      <c r="D3" s="222"/>
      <c r="E3" s="222"/>
      <c r="F3" s="222"/>
      <c r="G3" s="222"/>
      <c r="H3" s="222"/>
      <c r="I3" s="222"/>
      <c r="J3" s="222"/>
      <c r="K3" s="110"/>
    </row>
    <row r="4" spans="1:12" ht="14.5" customHeight="1"/>
    <row r="5" spans="1:12">
      <c r="A5" s="221" t="s">
        <v>123</v>
      </c>
      <c r="B5" s="221"/>
      <c r="C5" s="221"/>
      <c r="D5" s="221"/>
      <c r="E5" s="221"/>
      <c r="F5" s="221"/>
      <c r="G5" s="221"/>
      <c r="H5" s="221"/>
      <c r="I5" s="221"/>
      <c r="J5" s="221"/>
      <c r="K5" s="17"/>
    </row>
    <row r="6" spans="1:12" s="12" customFormat="1" ht="13.9" customHeight="1">
      <c r="A6" s="221" t="s">
        <v>124</v>
      </c>
      <c r="B6" s="221"/>
      <c r="C6" s="221"/>
      <c r="D6" s="221"/>
      <c r="E6" s="221"/>
      <c r="F6" s="221"/>
      <c r="G6" s="221"/>
      <c r="H6" s="221"/>
      <c r="I6" s="221"/>
      <c r="J6" s="221"/>
      <c r="K6" s="221"/>
    </row>
    <row r="7" spans="1:12" ht="28.9" customHeight="1">
      <c r="A7" s="17"/>
      <c r="B7" s="17"/>
      <c r="C7" s="17"/>
      <c r="E7" s="22" t="s">
        <v>58</v>
      </c>
      <c r="F7" s="22" t="s">
        <v>59</v>
      </c>
      <c r="G7" s="25" t="s">
        <v>65</v>
      </c>
      <c r="H7" s="35" t="s">
        <v>66</v>
      </c>
      <c r="I7" s="48" t="s">
        <v>136</v>
      </c>
      <c r="J7" s="22" t="s">
        <v>60</v>
      </c>
      <c r="K7" s="17"/>
      <c r="L7" s="17"/>
    </row>
    <row r="8" spans="1:12" ht="14.5" customHeight="1">
      <c r="A8" s="21" t="s">
        <v>56</v>
      </c>
      <c r="B8" s="9"/>
      <c r="C8" s="9"/>
      <c r="E8" s="9"/>
      <c r="F8" s="9"/>
      <c r="G8" s="9"/>
      <c r="H8" s="9"/>
      <c r="I8" s="9"/>
      <c r="J8" s="9"/>
      <c r="K8" s="9"/>
      <c r="L8" s="9"/>
    </row>
    <row r="9" spans="1:12" ht="14.5" customHeight="1">
      <c r="A9" s="18"/>
      <c r="B9" s="18" t="s">
        <v>57</v>
      </c>
      <c r="C9" s="18"/>
      <c r="E9" s="32">
        <v>-122</v>
      </c>
      <c r="F9" s="24">
        <v>255</v>
      </c>
      <c r="G9" s="32"/>
      <c r="H9" s="132"/>
      <c r="I9" s="32">
        <v>132</v>
      </c>
      <c r="J9" s="122">
        <v>2.4E-2</v>
      </c>
      <c r="K9" s="18"/>
      <c r="L9" s="18"/>
    </row>
    <row r="10" spans="1:12" ht="14.5" customHeight="1">
      <c r="A10" s="18"/>
      <c r="B10" s="18" t="s">
        <v>117</v>
      </c>
      <c r="C10" s="18"/>
      <c r="E10" s="33">
        <v>-4.92</v>
      </c>
      <c r="F10" s="23">
        <v>15.66</v>
      </c>
      <c r="G10" s="33"/>
      <c r="H10" s="133"/>
      <c r="I10" s="33">
        <v>10.74</v>
      </c>
      <c r="J10" s="122">
        <v>0.03</v>
      </c>
      <c r="K10" s="18"/>
      <c r="L10" s="18"/>
    </row>
    <row r="11" spans="1:12">
      <c r="B11" s="12" t="s">
        <v>64</v>
      </c>
      <c r="E11" s="33">
        <v>4.92</v>
      </c>
      <c r="F11" s="23">
        <v>-15.88</v>
      </c>
      <c r="G11" s="33"/>
      <c r="H11" s="33"/>
      <c r="I11" s="33">
        <v>-11.01</v>
      </c>
      <c r="J11" s="14"/>
    </row>
    <row r="12" spans="1:12" s="12" customFormat="1" ht="6" customHeight="1">
      <c r="E12" s="33"/>
      <c r="F12" s="23"/>
      <c r="G12" s="33"/>
      <c r="H12" s="134"/>
      <c r="I12" s="33"/>
      <c r="J12" s="14"/>
    </row>
    <row r="13" spans="1:12">
      <c r="A13" s="21" t="s">
        <v>61</v>
      </c>
      <c r="B13" s="9"/>
      <c r="C13" s="9"/>
      <c r="E13" s="34"/>
      <c r="F13" s="9"/>
      <c r="G13" s="34"/>
      <c r="H13" s="135"/>
      <c r="I13" s="34"/>
      <c r="J13" s="34"/>
      <c r="K13" s="19"/>
      <c r="L13" s="19"/>
    </row>
    <row r="14" spans="1:12">
      <c r="A14" s="18"/>
      <c r="B14" s="18" t="s">
        <v>57</v>
      </c>
      <c r="C14" s="18"/>
      <c r="E14" s="32">
        <v>-777</v>
      </c>
      <c r="F14" s="32">
        <v>321</v>
      </c>
      <c r="G14" s="32"/>
      <c r="H14" s="132"/>
      <c r="I14" s="32">
        <v>-456</v>
      </c>
      <c r="J14" s="122">
        <v>-2.1000000000000001E-2</v>
      </c>
      <c r="K14" s="19"/>
      <c r="L14" s="19"/>
    </row>
    <row r="15" spans="1:12" ht="14.5" customHeight="1">
      <c r="A15" s="18"/>
      <c r="B15" s="18" t="s">
        <v>117</v>
      </c>
      <c r="C15" s="18"/>
      <c r="E15" s="33">
        <v>-28.72</v>
      </c>
      <c r="F15" s="33">
        <v>40.25</v>
      </c>
      <c r="G15" s="33"/>
      <c r="H15" s="133"/>
      <c r="I15" s="33">
        <v>11.53</v>
      </c>
      <c r="J15" s="122">
        <v>1.0999999999999999E-2</v>
      </c>
      <c r="K15" s="19"/>
      <c r="L15" s="19"/>
    </row>
    <row r="16" spans="1:12">
      <c r="B16" s="12" t="s">
        <v>64</v>
      </c>
      <c r="E16" s="33">
        <v>28.72</v>
      </c>
      <c r="F16" s="33">
        <v>-40.409999999999997</v>
      </c>
      <c r="G16" s="33"/>
      <c r="H16" s="33"/>
      <c r="I16" s="33">
        <v>-12.02</v>
      </c>
      <c r="J16" s="14"/>
    </row>
    <row r="17" spans="1:10" s="12" customFormat="1" ht="9" customHeight="1">
      <c r="E17" s="14"/>
      <c r="G17" s="14"/>
      <c r="H17" s="136"/>
      <c r="I17" s="14"/>
      <c r="J17" s="14"/>
    </row>
    <row r="18" spans="1:10" ht="14.5" customHeight="1">
      <c r="A18" s="21" t="s">
        <v>62</v>
      </c>
      <c r="B18" s="9"/>
      <c r="C18" s="9"/>
      <c r="E18" s="34"/>
      <c r="F18" s="9"/>
      <c r="G18" s="34"/>
      <c r="H18" s="135"/>
      <c r="I18" s="34"/>
      <c r="J18" s="34"/>
    </row>
    <row r="19" spans="1:10" ht="14.5" customHeight="1">
      <c r="A19" s="18"/>
      <c r="B19" s="18" t="s">
        <v>57</v>
      </c>
      <c r="C19" s="18"/>
      <c r="E19" s="32">
        <v>19</v>
      </c>
      <c r="F19" s="32">
        <v>-7</v>
      </c>
      <c r="G19" s="32"/>
      <c r="H19" s="132"/>
      <c r="I19" s="32">
        <v>11</v>
      </c>
      <c r="J19" s="122">
        <v>2.8000000000000001E-2</v>
      </c>
    </row>
    <row r="20" spans="1:10">
      <c r="A20" s="18"/>
      <c r="B20" s="18" t="s">
        <v>117</v>
      </c>
      <c r="C20" s="18"/>
      <c r="E20" s="33">
        <v>7.38</v>
      </c>
      <c r="F20" s="33">
        <v>-3.46</v>
      </c>
      <c r="G20" s="33"/>
      <c r="H20" s="133"/>
      <c r="I20" s="33">
        <v>3.92</v>
      </c>
      <c r="J20" s="122">
        <v>0.02</v>
      </c>
    </row>
    <row r="21" spans="1:10" s="12" customFormat="1">
      <c r="A21" s="18"/>
      <c r="B21" s="12" t="s">
        <v>64</v>
      </c>
      <c r="C21" s="18"/>
      <c r="E21" s="33">
        <v>-7.38</v>
      </c>
      <c r="F21" s="33">
        <v>3.25</v>
      </c>
      <c r="G21" s="33"/>
      <c r="H21" s="33"/>
      <c r="I21" s="33">
        <v>-4.09</v>
      </c>
      <c r="J21" s="123"/>
    </row>
    <row r="22" spans="1:10" ht="9" customHeight="1">
      <c r="A22" s="12"/>
      <c r="B22" s="12"/>
      <c r="C22" s="12"/>
      <c r="E22" s="14"/>
      <c r="F22" s="14"/>
      <c r="G22" s="14"/>
      <c r="H22" s="136"/>
      <c r="I22" s="14"/>
      <c r="J22" s="14"/>
    </row>
    <row r="23" spans="1:10">
      <c r="A23" s="21" t="s">
        <v>63</v>
      </c>
      <c r="B23" s="9"/>
      <c r="C23" s="9"/>
      <c r="E23" s="34"/>
      <c r="F23" s="9"/>
      <c r="G23" s="34"/>
      <c r="H23" s="135"/>
      <c r="I23" s="34"/>
      <c r="J23" s="34"/>
    </row>
    <row r="24" spans="1:10">
      <c r="A24" s="18"/>
      <c r="B24" s="18" t="s">
        <v>57</v>
      </c>
      <c r="C24" s="18"/>
      <c r="E24" s="32">
        <v>208</v>
      </c>
      <c r="F24" s="24">
        <v>-29</v>
      </c>
      <c r="G24" s="32"/>
      <c r="H24" s="132"/>
      <c r="I24" s="32">
        <v>179</v>
      </c>
      <c r="J24" s="122">
        <v>2.1000000000000001E-2</v>
      </c>
    </row>
    <row r="25" spans="1:10">
      <c r="A25" s="18"/>
      <c r="B25" s="18" t="s">
        <v>117</v>
      </c>
      <c r="C25" s="18"/>
      <c r="E25" s="33">
        <v>124.75</v>
      </c>
      <c r="F25" s="23">
        <v>-7.9</v>
      </c>
      <c r="G25" s="33"/>
      <c r="H25" s="133"/>
      <c r="I25" s="33">
        <v>116.85</v>
      </c>
      <c r="J25" s="122">
        <v>6.5000000000000002E-2</v>
      </c>
    </row>
    <row r="26" spans="1:10">
      <c r="B26" s="12" t="s">
        <v>64</v>
      </c>
      <c r="E26" s="33">
        <v>-124.75</v>
      </c>
      <c r="F26" s="23">
        <v>3.57</v>
      </c>
      <c r="G26" s="33"/>
      <c r="H26" s="33"/>
      <c r="I26" s="33">
        <v>-121.33</v>
      </c>
      <c r="J26" s="14"/>
    </row>
    <row r="28" spans="1:10" hidden="1"/>
    <row r="29" spans="1:10" ht="104.25" customHeight="1">
      <c r="A29" s="220" t="s">
        <v>159</v>
      </c>
      <c r="B29" s="220"/>
      <c r="C29" s="220"/>
      <c r="D29" s="220"/>
      <c r="E29" s="220"/>
      <c r="F29" s="220"/>
      <c r="G29" s="220"/>
      <c r="H29" s="220"/>
      <c r="I29" s="220"/>
      <c r="J29" s="220"/>
    </row>
    <row r="30" spans="1:10">
      <c r="A30" s="17"/>
      <c r="B30" s="17"/>
      <c r="C30" s="17"/>
      <c r="D30" s="17"/>
      <c r="E30" s="17"/>
      <c r="F30" s="17"/>
      <c r="G30" s="17"/>
      <c r="H30" s="17"/>
      <c r="I30" s="17"/>
      <c r="J30" s="17"/>
    </row>
    <row r="31" spans="1:10" ht="14.5" customHeight="1">
      <c r="A31" s="225" t="s">
        <v>166</v>
      </c>
      <c r="B31" s="225"/>
      <c r="C31" s="225"/>
      <c r="D31" s="225"/>
      <c r="E31" s="225"/>
      <c r="F31" s="225"/>
      <c r="G31" s="225"/>
      <c r="H31" s="225"/>
      <c r="I31" s="225"/>
      <c r="J31" s="225"/>
    </row>
    <row r="32" spans="1:10">
      <c r="A32" s="225"/>
      <c r="B32" s="225"/>
      <c r="C32" s="225"/>
      <c r="D32" s="225"/>
      <c r="E32" s="225"/>
      <c r="F32" s="225"/>
      <c r="G32" s="225"/>
      <c r="H32" s="225"/>
      <c r="I32" s="225"/>
      <c r="J32" s="225"/>
    </row>
    <row r="33" spans="1:20">
      <c r="A33" s="225"/>
      <c r="B33" s="225"/>
      <c r="C33" s="225"/>
      <c r="D33" s="225"/>
      <c r="E33" s="225"/>
      <c r="F33" s="225"/>
      <c r="G33" s="225"/>
      <c r="H33" s="225"/>
      <c r="I33" s="225"/>
      <c r="J33" s="225"/>
    </row>
    <row r="34" spans="1:20">
      <c r="A34" s="225"/>
      <c r="B34" s="225"/>
      <c r="C34" s="225"/>
      <c r="D34" s="225"/>
      <c r="E34" s="225"/>
      <c r="F34" s="225"/>
      <c r="G34" s="225"/>
      <c r="H34" s="225"/>
      <c r="I34" s="225"/>
      <c r="J34" s="225"/>
    </row>
    <row r="35" spans="1:20">
      <c r="A35" s="225"/>
      <c r="B35" s="225"/>
      <c r="C35" s="225"/>
      <c r="D35" s="225"/>
      <c r="E35" s="225"/>
      <c r="F35" s="225"/>
      <c r="G35" s="225"/>
      <c r="H35" s="225"/>
      <c r="I35" s="225"/>
      <c r="J35" s="225"/>
    </row>
    <row r="36" spans="1:20">
      <c r="A36" s="225"/>
      <c r="B36" s="225"/>
      <c r="C36" s="225"/>
      <c r="D36" s="225"/>
      <c r="E36" s="225"/>
      <c r="F36" s="225"/>
      <c r="G36" s="225"/>
      <c r="H36" s="225"/>
      <c r="I36" s="225"/>
      <c r="J36" s="225"/>
    </row>
    <row r="37" spans="1:20">
      <c r="A37" s="225"/>
      <c r="B37" s="225"/>
      <c r="C37" s="225"/>
      <c r="D37" s="225"/>
      <c r="E37" s="225"/>
      <c r="F37" s="225"/>
      <c r="G37" s="225"/>
      <c r="H37" s="225"/>
      <c r="I37" s="225"/>
      <c r="J37" s="225"/>
    </row>
    <row r="38" spans="1:20">
      <c r="A38" s="225"/>
      <c r="B38" s="225"/>
      <c r="C38" s="225"/>
      <c r="D38" s="225"/>
      <c r="E38" s="225"/>
      <c r="F38" s="225"/>
      <c r="G38" s="225"/>
      <c r="H38" s="225"/>
      <c r="I38" s="225"/>
      <c r="J38" s="225"/>
    </row>
    <row r="39" spans="1:20">
      <c r="A39" s="225"/>
      <c r="B39" s="225"/>
      <c r="C39" s="225"/>
      <c r="D39" s="225"/>
      <c r="E39" s="225"/>
      <c r="F39" s="225"/>
      <c r="G39" s="225"/>
      <c r="H39" s="225"/>
      <c r="I39" s="225"/>
      <c r="J39" s="225"/>
    </row>
    <row r="40" spans="1:20">
      <c r="A40" s="225"/>
      <c r="B40" s="225"/>
      <c r="C40" s="225"/>
      <c r="D40" s="225"/>
      <c r="E40" s="225"/>
      <c r="F40" s="225"/>
      <c r="G40" s="225"/>
      <c r="H40" s="225"/>
      <c r="I40" s="225"/>
      <c r="J40" s="225"/>
    </row>
    <row r="41" spans="1:20">
      <c r="A41" s="225"/>
      <c r="B41" s="225"/>
      <c r="C41" s="225"/>
      <c r="D41" s="225"/>
      <c r="E41" s="225"/>
      <c r="F41" s="225"/>
      <c r="G41" s="225"/>
      <c r="H41" s="225"/>
      <c r="I41" s="225"/>
      <c r="J41" s="225"/>
      <c r="T41" s="31"/>
    </row>
    <row r="42" spans="1:20">
      <c r="A42" s="225"/>
      <c r="B42" s="225"/>
      <c r="C42" s="225"/>
      <c r="D42" s="225"/>
      <c r="E42" s="225"/>
      <c r="F42" s="225"/>
      <c r="G42" s="225"/>
      <c r="H42" s="225"/>
      <c r="I42" s="225"/>
      <c r="J42" s="225"/>
    </row>
    <row r="43" spans="1:20">
      <c r="A43" s="225"/>
      <c r="B43" s="225"/>
      <c r="C43" s="225"/>
      <c r="D43" s="225"/>
      <c r="E43" s="225"/>
      <c r="F43" s="225"/>
      <c r="G43" s="225"/>
      <c r="H43" s="225"/>
      <c r="I43" s="225"/>
      <c r="J43" s="225"/>
    </row>
    <row r="44" spans="1:20">
      <c r="A44" s="225"/>
      <c r="B44" s="225"/>
      <c r="C44" s="225"/>
      <c r="D44" s="225"/>
      <c r="E44" s="225"/>
      <c r="F44" s="225"/>
      <c r="G44" s="225"/>
      <c r="H44" s="225"/>
      <c r="I44" s="225"/>
      <c r="J44" s="225"/>
    </row>
    <row r="45" spans="1:20">
      <c r="A45" s="110"/>
      <c r="B45" s="110"/>
      <c r="C45" s="110"/>
      <c r="D45" s="110"/>
      <c r="E45" s="110"/>
      <c r="F45" s="110"/>
      <c r="G45" s="110"/>
      <c r="H45" s="110"/>
      <c r="I45" s="110"/>
      <c r="J45" s="110"/>
    </row>
    <row r="46" spans="1:20">
      <c r="A46" s="110"/>
      <c r="B46" s="110"/>
      <c r="C46" s="110"/>
      <c r="D46" s="110"/>
      <c r="E46" s="110"/>
      <c r="F46" s="110"/>
      <c r="G46" s="110"/>
      <c r="H46" s="110"/>
      <c r="I46" s="110"/>
      <c r="J46" s="110"/>
    </row>
    <row r="87" spans="18:19">
      <c r="R87" s="31"/>
      <c r="S87" s="31"/>
    </row>
  </sheetData>
  <mergeCells count="5">
    <mergeCell ref="A29:J29"/>
    <mergeCell ref="A6:K6"/>
    <mergeCell ref="A3:J3"/>
    <mergeCell ref="A5:J5"/>
    <mergeCell ref="A31:J44"/>
  </mergeCells>
  <printOptions horizontalCentered="1"/>
  <pageMargins left="0.7" right="0.55000000000000004" top="0.81" bottom="0.47" header="0.39" footer="0.3"/>
  <pageSetup scale="92" firstPageNumber="9" orientation="portrait" useFirstPageNumber="1" r:id="rId1"/>
  <headerFooter scaleWithDoc="0">
    <oddHeader>&amp;C&amp;8Avista Corporation Fixed Cost Adjustment Mechanism
Idaho Jurisdiction
Quarterly Report for 2nd
 Quarter 2021</oddHeader>
    <oddFooter>&amp;C&amp;F / &amp;A&amp;RPage &amp;P of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Electric Deferral</vt:lpstr>
      <vt:lpstr>Natural Gas Deferral</vt:lpstr>
      <vt:lpstr>Natural Gas by Schedule</vt:lpstr>
      <vt:lpstr>Accounting Balances</vt:lpstr>
      <vt:lpstr>Notes</vt:lpstr>
      <vt:lpstr>'Accounting Balances'!Print_Area</vt:lpstr>
      <vt:lpstr>'Electric Deferral'!Print_Area</vt:lpstr>
      <vt:lpstr>'Natural Gas Deferral'!Print_Area</vt:lpstr>
      <vt:lpstr>Notes!Print_Area</vt:lpstr>
      <vt:lpstr>'Electric Deferral'!Print_Titles</vt:lpstr>
      <vt:lpstr>'Natural Gas by Schedule'!Print_Titles</vt:lpstr>
      <vt:lpstr>'Natural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2021-08-30T16:07:58Z</dcterms:modified>
</cp:coreProperties>
</file>